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Y:\Unit_SEB\3_EMIS\__Projecten\1__EMIS\MOSS referentielabo\omzetten WAC naar PDF\"/>
    </mc:Choice>
  </mc:AlternateContent>
  <xr:revisionPtr revIDLastSave="0" documentId="8_{7B127CAF-218D-4C0E-B8B3-8769C020C1F2}" xr6:coauthVersionLast="31" xr6:coauthVersionMax="31" xr10:uidLastSave="{00000000-0000-0000-0000-000000000000}"/>
  <bookViews>
    <workbookView xWindow="480" yWindow="30" windowWidth="27795" windowHeight="11565" xr2:uid="{00000000-000D-0000-FFFF-FFFF00000000}"/>
  </bookViews>
  <sheets>
    <sheet name="kalk-koolzuur" sheetId="1" r:id="rId1"/>
  </sheets>
  <externalReferences>
    <externalReference r:id="rId2"/>
  </externalReferences>
  <definedNames>
    <definedName name="_NH4">[1]NH3!$B$6</definedName>
    <definedName name="ALFAéén">'kalk-koolzuur'!$B$20</definedName>
    <definedName name="ALFAnul">'kalk-koolzuur'!$B$21</definedName>
    <definedName name="ALFAtwee">'kalk-koolzuur'!$B$22</definedName>
    <definedName name="CA">'kalk-koolzuur'!$B$8</definedName>
    <definedName name="CTEMP">'kalk-koolzuur'!$B$6</definedName>
    <definedName name="CTOT">'kalk-koolzuur'!$B$27</definedName>
    <definedName name="GEL">'kalk-koolzuur'!$B$4</definedName>
    <definedName name="GELEID">[1]NH3!$B$5</definedName>
    <definedName name="HPLUS">'kalk-koolzuur'!$B$15</definedName>
    <definedName name="HplusEV">'kalk-koolzuur'!$B$38</definedName>
    <definedName name="Kéén">'kalk-koolzuur'!$I$10</definedName>
    <definedName name="KS">'kalk-koolzuur'!$I$12</definedName>
    <definedName name="KTEMP">'kalk-koolzuur'!$D$6</definedName>
    <definedName name="Ktwee">'kalk-koolzuur'!$I$11</definedName>
    <definedName name="KWATER">'kalk-koolzuur'!$I$9</definedName>
    <definedName name="LOGKNH3">[1]NH3!$F$4</definedName>
    <definedName name="LOGKW">[1]NH3!$F$3</definedName>
    <definedName name="M">'kalk-koolzuur'!$B$12</definedName>
    <definedName name="MU">'kalk-koolzuur'!$B$11</definedName>
    <definedName name="OHmin">'kalk-koolzuur'!$B$16</definedName>
    <definedName name="PH">'kalk-koolzuur'!$B$5</definedName>
    <definedName name="pHEV">'kalk-koolzuur'!$B$39</definedName>
    <definedName name="PHI">'kalk-koolzuur'!$B$23</definedName>
    <definedName name="PSI">'kalk-koolzuur'!$B$17</definedName>
    <definedName name="SI">'kalk-koolzuur'!$B$40</definedName>
    <definedName name="TAM">'kalk-koolzuur'!$B$7</definedName>
    <definedName name="TAP">'kalk-koolzuur'!$B$24</definedName>
    <definedName name="TEMPC">[1]NH3!$B$3</definedName>
    <definedName name="TEMPK">[1]NH3!$B$7</definedName>
    <definedName name="ZUURTEGRAAD">[1]NH3!$B$4</definedName>
  </definedNames>
  <calcPr calcId="179017" iterateDelta="252"/>
</workbook>
</file>

<file path=xl/calcChain.xml><?xml version="1.0" encoding="utf-8"?>
<calcChain xmlns="http://schemas.openxmlformats.org/spreadsheetml/2006/main">
  <c r="B11" i="1" l="1"/>
  <c r="B12" i="1" s="1"/>
  <c r="D6" i="1"/>
  <c r="G10" i="1" s="1"/>
  <c r="H10" i="1" s="1"/>
  <c r="G12" i="1" l="1"/>
  <c r="H12" i="1" s="1"/>
  <c r="I12" i="1" s="1"/>
  <c r="J12" i="1" s="1"/>
  <c r="B15" i="1"/>
  <c r="I10" i="1"/>
  <c r="J10" i="1" s="1"/>
  <c r="G11" i="1"/>
  <c r="H11" i="1" s="1"/>
  <c r="I11" i="1" s="1"/>
  <c r="G9" i="1"/>
  <c r="H9" i="1" s="1"/>
  <c r="I9" i="1" s="1"/>
  <c r="J11" i="1" l="1"/>
  <c r="B16" i="1"/>
  <c r="J9" i="1"/>
  <c r="B20" i="1"/>
  <c r="D16" i="1" l="1"/>
  <c r="B17" i="1"/>
  <c r="B22" i="1"/>
  <c r="B21" i="1"/>
  <c r="B38" i="1" l="1"/>
  <c r="B39" i="1" s="1"/>
  <c r="B23" i="1"/>
  <c r="B24" i="1" s="1"/>
  <c r="B27" i="1" l="1"/>
  <c r="B30" i="1" s="1"/>
  <c r="D30" i="1" s="1"/>
  <c r="B40" i="1"/>
  <c r="B35" i="1" l="1"/>
  <c r="B31" i="1"/>
  <c r="D31" i="1" s="1"/>
  <c r="D27" i="1"/>
  <c r="B32" i="1"/>
  <c r="D32" i="1" s="1"/>
</calcChain>
</file>

<file path=xl/sharedStrings.xml><?xml version="1.0" encoding="utf-8"?>
<sst xmlns="http://schemas.openxmlformats.org/spreadsheetml/2006/main" count="89" uniqueCount="75">
  <si>
    <t>basisgegevens</t>
  </si>
  <si>
    <t>resultaat</t>
  </si>
  <si>
    <t>eenheid</t>
  </si>
  <si>
    <t>A</t>
  </si>
  <si>
    <t>B</t>
  </si>
  <si>
    <t>C</t>
  </si>
  <si>
    <t>D</t>
  </si>
  <si>
    <t>E</t>
  </si>
  <si>
    <t>µS/cm</t>
  </si>
  <si>
    <t>bij 20 °C</t>
  </si>
  <si>
    <t>kW</t>
  </si>
  <si>
    <t>pH</t>
  </si>
  <si>
    <t>K1</t>
  </si>
  <si>
    <t>° C</t>
  </si>
  <si>
    <t>graden Kelvin</t>
  </si>
  <si>
    <t>K2</t>
  </si>
  <si>
    <t>TAM</t>
  </si>
  <si>
    <t>mmol/l</t>
  </si>
  <si>
    <t xml:space="preserve">minimum = </t>
  </si>
  <si>
    <t>KS</t>
  </si>
  <si>
    <t>Ca</t>
  </si>
  <si>
    <t>mg/l</t>
  </si>
  <si>
    <t>log Ki</t>
  </si>
  <si>
    <t>Ki</t>
  </si>
  <si>
    <t>Ki'</t>
  </si>
  <si>
    <t>pKi's</t>
  </si>
  <si>
    <t>1) bepaling van ionensterkte en M</t>
  </si>
  <si>
    <t>µ</t>
  </si>
  <si>
    <t>mol/l</t>
  </si>
  <si>
    <t>M</t>
  </si>
  <si>
    <r>
      <t>2) bepaling van analytische conc. [H</t>
    </r>
    <r>
      <rPr>
        <b/>
        <vertAlign val="superscript"/>
        <sz val="10"/>
        <rFont val="Arial"/>
        <family val="2"/>
      </rPr>
      <t>+</t>
    </r>
    <r>
      <rPr>
        <b/>
        <sz val="10"/>
        <rFont val="Arial"/>
        <family val="2"/>
      </rPr>
      <t>] en [OH</t>
    </r>
    <r>
      <rPr>
        <b/>
        <vertAlign val="superscript"/>
        <sz val="10"/>
        <rFont val="Arial"/>
        <family val="2"/>
      </rPr>
      <t>-</t>
    </r>
    <r>
      <rPr>
        <b/>
        <sz val="10"/>
        <rFont val="Arial"/>
        <family val="2"/>
      </rPr>
      <t>] en psi</t>
    </r>
  </si>
  <si>
    <t>H+</t>
  </si>
  <si>
    <t>OH-</t>
  </si>
  <si>
    <t>mg/l OH</t>
  </si>
  <si>
    <t>Opmerkingen:</t>
  </si>
  <si>
    <t>temperatuursafhankelijkheid via Plummer en Busenberg</t>
  </si>
  <si>
    <t>psi</t>
  </si>
  <si>
    <t>(Geo et Cosm. Acta 46, 1011-1040, 1982)</t>
  </si>
  <si>
    <t>3) bepaling van distributiecoefficiënten ao, a1 en a2 en phi en TAP</t>
  </si>
  <si>
    <t xml:space="preserve">relatie tussen M en ionensterkte volgens Davies die </t>
  </si>
  <si>
    <t>a1</t>
  </si>
  <si>
    <t>geldig is voor µ &lt; 0,5 mol/l</t>
  </si>
  <si>
    <t>ao</t>
  </si>
  <si>
    <t>a2</t>
  </si>
  <si>
    <t>verband tussen geleidbaarheid en ionensterkte</t>
  </si>
  <si>
    <t>phi</t>
  </si>
  <si>
    <t>µ = GEL / 54500</t>
  </si>
  <si>
    <t>TAP</t>
  </si>
  <si>
    <t>4) bepaling van de totale anorganische koolstof CT (of TAC)</t>
  </si>
  <si>
    <t xml:space="preserve">pH gemeten met glaselektrode is een maat </t>
  </si>
  <si>
    <t>CT</t>
  </si>
  <si>
    <t>mg/l C</t>
  </si>
  <si>
    <t>voor de actieve concentratie van de waterstofionen</t>
  </si>
  <si>
    <t>5) bepaling van CO2, HCO3 en CO3 als vormen van CT</t>
  </si>
  <si>
    <t>CO2</t>
  </si>
  <si>
    <t>mg/l CO2</t>
  </si>
  <si>
    <t>TAM, TAP en CT zijn conservatieve grootheden</t>
  </si>
  <si>
    <t>HCO3</t>
  </si>
  <si>
    <t>mg/l HCO3</t>
  </si>
  <si>
    <t>en dus niet afhankelijk van temperatuur en ionensterkte</t>
  </si>
  <si>
    <t>CO3</t>
  </si>
  <si>
    <t>mg/l CO3</t>
  </si>
  <si>
    <t>6) bepaling van het buffervermogen</t>
  </si>
  <si>
    <t>Beta</t>
  </si>
  <si>
    <t>mmol/l.pH</t>
  </si>
  <si>
    <t>7) bepaling van evenwichtspH en de stabiliteitsindex van Langelier</t>
  </si>
  <si>
    <t>H+ev</t>
  </si>
  <si>
    <t>pHev</t>
  </si>
  <si>
    <t>SI berekening volgens Langelier</t>
  </si>
  <si>
    <t>SI</t>
  </si>
  <si>
    <t>SI positief betekent kalkafzettend</t>
  </si>
  <si>
    <t xml:space="preserve">SI negatief betekent kalkoplossend </t>
  </si>
  <si>
    <t>Geleidbaarheid</t>
  </si>
  <si>
    <t>Temperatuur</t>
  </si>
  <si>
    <r>
      <t>Bepaling van de parameters CO</t>
    </r>
    <r>
      <rPr>
        <b/>
        <vertAlign val="subscript"/>
        <sz val="12"/>
        <rFont val="Arial"/>
        <family val="2"/>
      </rPr>
      <t>2</t>
    </r>
    <r>
      <rPr>
        <b/>
        <sz val="12"/>
        <rFont val="Arial"/>
        <family val="2"/>
      </rPr>
      <t>, HCO</t>
    </r>
    <r>
      <rPr>
        <b/>
        <vertAlign val="subscript"/>
        <sz val="12"/>
        <rFont val="Arial"/>
        <family val="2"/>
      </rPr>
      <t>3</t>
    </r>
    <r>
      <rPr>
        <b/>
        <sz val="12"/>
        <rFont val="Arial"/>
        <family val="2"/>
      </rPr>
      <t>, CO</t>
    </r>
    <r>
      <rPr>
        <b/>
        <vertAlign val="subscript"/>
        <sz val="12"/>
        <rFont val="Arial"/>
        <family val="2"/>
      </rPr>
      <t>3</t>
    </r>
    <r>
      <rPr>
        <b/>
        <sz val="12"/>
        <rFont val="Arial"/>
        <family val="2"/>
      </rPr>
      <t>, OH en de Saturatie-index SI (agressieve CO</t>
    </r>
    <r>
      <rPr>
        <b/>
        <vertAlign val="subscript"/>
        <sz val="12"/>
        <rFont val="Arial"/>
        <family val="2"/>
      </rPr>
      <t>2</t>
    </r>
    <r>
      <rPr>
        <b/>
        <sz val="12"/>
        <rFont val="Arial"/>
        <family val="2"/>
      </rPr>
      <t>) via pH, geleidbaarheid, temperatuur, TAM en Ca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</si>
</sst>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000"/>
    <numFmt numFmtId="165" formatCode="0.0"/>
    <numFmt numFmtId="166" formatCode="0.000"/>
    <numFmt numFmtId="167" formatCode="0.000000000"/>
    <numFmt numFmtId="168" formatCode="0.00000"/>
  </numFmts>
  <fonts count="11" x14ac:knownFonts="1">
    <font>
      <sz val="10"/>
      <name val="Arial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b/>
      <vertAlign val="superscript"/>
      <sz val="10"/>
      <name val="Arial"/>
      <family val="2"/>
    </font>
    <font>
      <b/>
      <sz val="10"/>
      <color indexed="10"/>
      <name val="Arial"/>
      <family val="2"/>
    </font>
    <font>
      <u/>
      <sz val="10"/>
      <name val="Arial"/>
      <family val="2"/>
    </font>
    <font>
      <b/>
      <sz val="11"/>
      <color indexed="10"/>
      <name val="Arial"/>
      <family val="2"/>
    </font>
    <font>
      <sz val="10"/>
      <color indexed="12"/>
      <name val="Arial"/>
      <family val="2"/>
    </font>
    <font>
      <b/>
      <vertAlign val="subscript"/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 applyBorder="1" applyAlignment="1">
      <alignment horizontal="left"/>
    </xf>
    <xf numFmtId="0" fontId="0" fillId="0" borderId="0" xfId="0" applyBorder="1"/>
    <xf numFmtId="0" fontId="0" fillId="0" borderId="4" xfId="0" applyBorder="1"/>
    <xf numFmtId="0" fontId="0" fillId="0" borderId="5" xfId="0" applyBorder="1"/>
    <xf numFmtId="0" fontId="0" fillId="2" borderId="5" xfId="0" applyFill="1" applyBorder="1"/>
    <xf numFmtId="0" fontId="0" fillId="0" borderId="5" xfId="0" applyBorder="1" applyAlignment="1">
      <alignment horizontal="center"/>
    </xf>
    <xf numFmtId="0" fontId="2" fillId="0" borderId="5" xfId="0" applyFont="1" applyBorder="1"/>
    <xf numFmtId="164" fontId="0" fillId="0" borderId="5" xfId="0" applyNumberFormat="1" applyBorder="1"/>
    <xf numFmtId="2" fontId="0" fillId="2" borderId="5" xfId="0" applyNumberFormat="1" applyFill="1" applyBorder="1"/>
    <xf numFmtId="165" fontId="0" fillId="2" borderId="5" xfId="0" applyNumberFormat="1" applyFill="1" applyBorder="1"/>
    <xf numFmtId="0" fontId="3" fillId="0" borderId="0" xfId="0" applyFont="1"/>
    <xf numFmtId="0" fontId="4" fillId="0" borderId="0" xfId="0" applyFont="1" applyAlignment="1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2" fillId="0" borderId="6" xfId="0" applyFont="1" applyBorder="1"/>
    <xf numFmtId="0" fontId="2" fillId="0" borderId="7" xfId="0" applyFont="1" applyBorder="1"/>
    <xf numFmtId="0" fontId="0" fillId="0" borderId="8" xfId="0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0" borderId="8" xfId="0" applyBorder="1"/>
    <xf numFmtId="0" fontId="0" fillId="0" borderId="4" xfId="0" applyBorder="1" applyAlignment="1">
      <alignment horizontal="center"/>
    </xf>
    <xf numFmtId="166" fontId="6" fillId="0" borderId="5" xfId="0" applyNumberFormat="1" applyFont="1" applyBorder="1"/>
    <xf numFmtId="0" fontId="7" fillId="0" borderId="0" xfId="0" applyFont="1"/>
    <xf numFmtId="0" fontId="2" fillId="0" borderId="7" xfId="0" applyFont="1" applyBorder="1" applyAlignment="1">
      <alignment horizontal="center"/>
    </xf>
    <xf numFmtId="0" fontId="0" fillId="0" borderId="9" xfId="0" applyBorder="1"/>
    <xf numFmtId="2" fontId="4" fillId="0" borderId="5" xfId="0" applyNumberFormat="1" applyFont="1" applyBorder="1"/>
    <xf numFmtId="168" fontId="0" fillId="0" borderId="0" xfId="0" applyNumberFormat="1"/>
    <xf numFmtId="0" fontId="0" fillId="0" borderId="7" xfId="0" applyBorder="1"/>
    <xf numFmtId="2" fontId="8" fillId="0" borderId="5" xfId="0" applyNumberFormat="1" applyFont="1" applyBorder="1" applyAlignment="1">
      <alignment vertical="center"/>
    </xf>
    <xf numFmtId="0" fontId="2" fillId="0" borderId="8" xfId="0" applyFont="1" applyBorder="1"/>
    <xf numFmtId="167" fontId="0" fillId="0" borderId="0" xfId="0" applyNumberFormat="1"/>
    <xf numFmtId="2" fontId="0" fillId="0" borderId="5" xfId="0" applyNumberFormat="1" applyBorder="1"/>
    <xf numFmtId="164" fontId="0" fillId="0" borderId="0" xfId="0" applyNumberFormat="1"/>
    <xf numFmtId="164" fontId="2" fillId="0" borderId="7" xfId="0" applyNumberFormat="1" applyFont="1" applyBorder="1"/>
    <xf numFmtId="164" fontId="0" fillId="0" borderId="4" xfId="0" applyNumberFormat="1" applyBorder="1"/>
    <xf numFmtId="164" fontId="3" fillId="0" borderId="5" xfId="0" applyNumberFormat="1" applyFont="1" applyBorder="1"/>
    <xf numFmtId="2" fontId="2" fillId="0" borderId="4" xfId="0" applyNumberFormat="1" applyFont="1" applyBorder="1" applyAlignment="1">
      <alignment horizontal="center"/>
    </xf>
    <xf numFmtId="2" fontId="2" fillId="0" borderId="4" xfId="0" applyNumberFormat="1" applyFont="1" applyBorder="1"/>
    <xf numFmtId="2" fontId="0" fillId="0" borderId="0" xfId="0" applyNumberFormat="1"/>
    <xf numFmtId="0" fontId="9" fillId="3" borderId="5" xfId="0" applyFont="1" applyFill="1" applyBorder="1"/>
    <xf numFmtId="2" fontId="8" fillId="3" borderId="5" xfId="0" applyNumberFormat="1" applyFont="1" applyFill="1" applyBorder="1" applyAlignment="1">
      <alignment vertical="center"/>
    </xf>
    <xf numFmtId="0" fontId="0" fillId="3" borderId="5" xfId="0" applyFill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1" fillId="0" borderId="1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irezk\AppData\Local\Microsoft\Windows\Temporary%20Internet%20Files\Content.Outlook\IVRI04CZ\129060%20-%20berekeningen%20in%20LIMS%20(3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H3"/>
      <sheetName val="kalk-koolzuur"/>
      <sheetName val="hardheid"/>
      <sheetName val="Nitraat-nitriet"/>
      <sheetName val="ortho-fosfaat"/>
      <sheetName val="GEWOGEN SOM NO2+NO3"/>
      <sheetName val="Fe (III)"/>
      <sheetName val="ionenbalans"/>
    </sheetNames>
    <sheetDataSet>
      <sheetData sheetId="0">
        <row r="3">
          <cell r="B3">
            <v>10</v>
          </cell>
          <cell r="F3">
            <v>-14.52917005436602</v>
          </cell>
        </row>
        <row r="4">
          <cell r="B4">
            <v>8</v>
          </cell>
          <cell r="F4">
            <v>-4.8041716015000011</v>
          </cell>
        </row>
        <row r="5">
          <cell r="B5">
            <v>250</v>
          </cell>
        </row>
        <row r="6">
          <cell r="B6">
            <v>15</v>
          </cell>
        </row>
        <row r="7">
          <cell r="B7">
            <v>283.14999999999998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41"/>
  <sheetViews>
    <sheetView tabSelected="1" topLeftCell="A4" workbookViewId="0">
      <selection activeCell="L20" sqref="L20"/>
    </sheetView>
  </sheetViews>
  <sheetFormatPr defaultRowHeight="12.75" x14ac:dyDescent="0.2"/>
  <cols>
    <col min="1" max="1" width="15.7109375" customWidth="1"/>
    <col min="2" max="2" width="13.7109375" bestFit="1" customWidth="1"/>
    <col min="3" max="3" width="11" customWidth="1"/>
    <col min="4" max="4" width="10" customWidth="1"/>
    <col min="5" max="5" width="12" customWidth="1"/>
    <col min="7" max="7" width="12.7109375" bestFit="1" customWidth="1"/>
    <col min="8" max="9" width="12.5703125" bestFit="1" customWidth="1"/>
    <col min="10" max="11" width="12.140625" bestFit="1" customWidth="1"/>
  </cols>
  <sheetData>
    <row r="1" spans="1:15" ht="31.5" customHeight="1" thickBot="1" x14ac:dyDescent="0.3">
      <c r="A1" s="43" t="s">
        <v>74</v>
      </c>
      <c r="B1" s="44"/>
      <c r="C1" s="44"/>
      <c r="D1" s="44"/>
      <c r="E1" s="44"/>
      <c r="F1" s="44"/>
      <c r="G1" s="44"/>
      <c r="H1" s="44"/>
      <c r="I1" s="44"/>
      <c r="J1" s="44"/>
      <c r="K1" s="45"/>
      <c r="L1" s="1"/>
      <c r="M1" s="1"/>
      <c r="N1" s="2"/>
      <c r="O1" s="2"/>
    </row>
    <row r="2" spans="1:15" ht="15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</row>
    <row r="3" spans="1:15" x14ac:dyDescent="0.2">
      <c r="A3" s="42" t="s">
        <v>0</v>
      </c>
      <c r="B3" s="42" t="s">
        <v>1</v>
      </c>
      <c r="C3" s="42" t="s">
        <v>2</v>
      </c>
      <c r="F3" s="4"/>
      <c r="G3" s="42" t="s">
        <v>3</v>
      </c>
      <c r="H3" s="42" t="s">
        <v>4</v>
      </c>
      <c r="I3" s="42" t="s">
        <v>5</v>
      </c>
      <c r="J3" s="42" t="s">
        <v>6</v>
      </c>
      <c r="K3" s="42" t="s">
        <v>7</v>
      </c>
    </row>
    <row r="4" spans="1:15" ht="12" customHeight="1" x14ac:dyDescent="0.2">
      <c r="A4" s="4" t="s">
        <v>72</v>
      </c>
      <c r="B4" s="5"/>
      <c r="C4" s="6" t="s">
        <v>8</v>
      </c>
      <c r="D4" t="s">
        <v>9</v>
      </c>
      <c r="F4" s="7" t="s">
        <v>10</v>
      </c>
      <c r="G4" s="31">
        <v>22.800999999999998</v>
      </c>
      <c r="H4" s="31">
        <v>-1.0364999999999999E-2</v>
      </c>
      <c r="I4" s="31">
        <v>-4787.3</v>
      </c>
      <c r="J4" s="31">
        <v>-7.1321000000000003</v>
      </c>
      <c r="K4" s="31"/>
    </row>
    <row r="5" spans="1:15" ht="12" customHeight="1" x14ac:dyDescent="0.2">
      <c r="A5" s="4" t="s">
        <v>11</v>
      </c>
      <c r="B5" s="9"/>
      <c r="C5" s="6"/>
      <c r="F5" s="7" t="s">
        <v>12</v>
      </c>
      <c r="G5" s="31">
        <v>-356.30939999999998</v>
      </c>
      <c r="H5" s="31">
        <v>-6.0919639999999997E-2</v>
      </c>
      <c r="I5" s="31">
        <v>21834.37</v>
      </c>
      <c r="J5" s="31">
        <v>126.8339</v>
      </c>
      <c r="K5" s="31">
        <v>-1684915</v>
      </c>
    </row>
    <row r="6" spans="1:15" ht="12" customHeight="1" x14ac:dyDescent="0.2">
      <c r="A6" s="4" t="s">
        <v>73</v>
      </c>
      <c r="B6" s="10"/>
      <c r="C6" s="6" t="s">
        <v>13</v>
      </c>
      <c r="D6">
        <f>B6+273.15</f>
        <v>273.14999999999998</v>
      </c>
      <c r="E6" s="11" t="s">
        <v>14</v>
      </c>
      <c r="F6" s="7" t="s">
        <v>15</v>
      </c>
      <c r="G6" s="31">
        <v>-107.8871</v>
      </c>
      <c r="H6" s="31">
        <v>-3.252849E-2</v>
      </c>
      <c r="I6" s="31">
        <v>5151.79</v>
      </c>
      <c r="J6" s="31">
        <v>38.925609999999999</v>
      </c>
      <c r="K6" s="31">
        <v>-563713.9</v>
      </c>
    </row>
    <row r="7" spans="1:15" ht="12" customHeight="1" x14ac:dyDescent="0.2">
      <c r="A7" s="4" t="s">
        <v>16</v>
      </c>
      <c r="B7" s="5"/>
      <c r="C7" s="6" t="s">
        <v>17</v>
      </c>
      <c r="D7" s="12" t="s">
        <v>18</v>
      </c>
      <c r="E7" s="13">
        <v>0.3</v>
      </c>
      <c r="F7" s="7" t="s">
        <v>19</v>
      </c>
      <c r="G7" s="31">
        <v>-171.90649999999999</v>
      </c>
      <c r="H7" s="31">
        <v>-7.7993000000000007E-2</v>
      </c>
      <c r="I7" s="31">
        <v>2839.319</v>
      </c>
      <c r="J7" s="31">
        <v>71.594999999999999</v>
      </c>
      <c r="K7" s="31"/>
    </row>
    <row r="8" spans="1:15" ht="12" customHeight="1" x14ac:dyDescent="0.2">
      <c r="A8" s="4" t="s">
        <v>20</v>
      </c>
      <c r="B8" s="5"/>
      <c r="C8" s="6" t="s">
        <v>21</v>
      </c>
      <c r="D8" s="12" t="s">
        <v>18</v>
      </c>
      <c r="E8" s="13">
        <v>2</v>
      </c>
      <c r="G8" s="36" t="s">
        <v>22</v>
      </c>
      <c r="H8" s="36" t="s">
        <v>23</v>
      </c>
      <c r="I8" s="36" t="s">
        <v>24</v>
      </c>
      <c r="J8" s="37" t="s">
        <v>25</v>
      </c>
      <c r="K8" s="38"/>
    </row>
    <row r="9" spans="1:15" x14ac:dyDescent="0.2">
      <c r="C9" s="14"/>
      <c r="F9" s="7" t="s">
        <v>10</v>
      </c>
      <c r="G9" s="31">
        <f>G4+(H4*$D$6)+(I4/$D$6)+(J4*LOG10($D$6))+(K4/$D$6^2)</f>
        <v>-14.933124401639596</v>
      </c>
      <c r="H9" s="31">
        <f>10^G9</f>
        <v>1.1664754377234669E-15</v>
      </c>
      <c r="I9" s="31">
        <f>H9*10^$B$12</f>
        <v>1.1664754377234669E-15</v>
      </c>
      <c r="J9" s="31">
        <f>-LOG10(I9)</f>
        <v>14.933124401639599</v>
      </c>
      <c r="K9" s="38"/>
    </row>
    <row r="10" spans="1:15" x14ac:dyDescent="0.2">
      <c r="A10" s="15" t="s">
        <v>26</v>
      </c>
      <c r="B10" s="16"/>
      <c r="C10" s="17"/>
      <c r="F10" s="7" t="s">
        <v>12</v>
      </c>
      <c r="G10" s="31">
        <f>G5+(H5*$D$6)+(I5/$D$6)+(J5*LOG10($D$6))+(K5/$D$6^2)</f>
        <v>-6.5785617123940305</v>
      </c>
      <c r="H10" s="31">
        <f>10^G10</f>
        <v>2.638993299949721E-7</v>
      </c>
      <c r="I10" s="31">
        <f>10^$B$12*H10</f>
        <v>2.638993299949721E-7</v>
      </c>
      <c r="J10" s="31">
        <f>-LOG10(I10)</f>
        <v>6.5785617123940305</v>
      </c>
      <c r="K10" s="38"/>
    </row>
    <row r="11" spans="1:15" ht="12" customHeight="1" x14ac:dyDescent="0.2">
      <c r="A11" s="4" t="s">
        <v>27</v>
      </c>
      <c r="B11" s="8">
        <f>GEL/54.5*0.001</f>
        <v>0</v>
      </c>
      <c r="C11" s="6" t="s">
        <v>28</v>
      </c>
      <c r="F11" s="7" t="s">
        <v>15</v>
      </c>
      <c r="G11" s="31">
        <f>G6+(H6*$D$6)+(I6/$D$6)+(J6*LOG10($D$6))+(K6/$D$6^2)</f>
        <v>-10.628571680511403</v>
      </c>
      <c r="H11" s="31">
        <f>10^G11</f>
        <v>2.3519512706725091E-11</v>
      </c>
      <c r="I11" s="31">
        <f>(10^(2*$B$12))*H11</f>
        <v>2.3519512706725091E-11</v>
      </c>
      <c r="J11" s="31">
        <f>-LOG10(I11)</f>
        <v>10.628571680511405</v>
      </c>
      <c r="K11" s="38"/>
    </row>
    <row r="12" spans="1:15" ht="12" customHeight="1" x14ac:dyDescent="0.2">
      <c r="A12" s="4" t="s">
        <v>29</v>
      </c>
      <c r="B12" s="8">
        <f>(MU^0.5/(1+MU^0.5))-(0.2*MU)</f>
        <v>0</v>
      </c>
      <c r="C12" s="6"/>
      <c r="F12" s="7" t="s">
        <v>19</v>
      </c>
      <c r="G12" s="31">
        <f>G7+(H7*$D$6)+(I7/$D$6)+(J7*LOG10($D$6))+(K7/$D$6^2)</f>
        <v>-8.3814191783788772</v>
      </c>
      <c r="H12" s="31">
        <f>10^G12</f>
        <v>4.1550936978412835E-9</v>
      </c>
      <c r="I12" s="31">
        <f>(10^(4*$B$12))*H12</f>
        <v>4.1550936978412835E-9</v>
      </c>
      <c r="J12" s="31">
        <f>-LOG10(I12)</f>
        <v>8.3814191783788772</v>
      </c>
      <c r="K12" s="38"/>
    </row>
    <row r="13" spans="1:15" x14ac:dyDescent="0.2">
      <c r="B13" s="32"/>
      <c r="C13" s="14"/>
    </row>
    <row r="14" spans="1:15" ht="14.25" x14ac:dyDescent="0.2">
      <c r="A14" s="15" t="s">
        <v>30</v>
      </c>
      <c r="B14" s="33"/>
      <c r="C14" s="18"/>
      <c r="D14" s="19"/>
    </row>
    <row r="15" spans="1:15" ht="12" customHeight="1" x14ac:dyDescent="0.2">
      <c r="A15" s="3" t="s">
        <v>31</v>
      </c>
      <c r="B15" s="34">
        <f>10^(0.5*M-PH)</f>
        <v>1</v>
      </c>
      <c r="C15" s="20" t="s">
        <v>28</v>
      </c>
    </row>
    <row r="16" spans="1:15" ht="12" customHeight="1" x14ac:dyDescent="0.2">
      <c r="A16" s="4" t="s">
        <v>32</v>
      </c>
      <c r="B16" s="35">
        <f>KWATER/HPLUS</f>
        <v>1.1664754377234669E-15</v>
      </c>
      <c r="C16" s="6" t="s">
        <v>28</v>
      </c>
      <c r="D16" s="21">
        <f>B16*17.009*1000</f>
        <v>1.9840580720238452E-11</v>
      </c>
      <c r="E16" s="4" t="s">
        <v>33</v>
      </c>
      <c r="G16" s="22" t="s">
        <v>34</v>
      </c>
      <c r="H16" t="s">
        <v>35</v>
      </c>
    </row>
    <row r="17" spans="1:8" ht="12" customHeight="1" x14ac:dyDescent="0.2">
      <c r="A17" s="4" t="s">
        <v>36</v>
      </c>
      <c r="B17" s="8">
        <f>(OHmin-HPLUS)*1000</f>
        <v>-999.99999999999875</v>
      </c>
      <c r="C17" s="6" t="s">
        <v>17</v>
      </c>
      <c r="H17" t="s">
        <v>37</v>
      </c>
    </row>
    <row r="18" spans="1:8" x14ac:dyDescent="0.2">
      <c r="B18" s="32"/>
      <c r="C18" s="14"/>
    </row>
    <row r="19" spans="1:8" x14ac:dyDescent="0.2">
      <c r="A19" s="15" t="s">
        <v>38</v>
      </c>
      <c r="B19" s="33"/>
      <c r="C19" s="23"/>
      <c r="D19" s="16"/>
      <c r="E19" s="16"/>
      <c r="F19" s="19"/>
      <c r="H19" t="s">
        <v>39</v>
      </c>
    </row>
    <row r="20" spans="1:8" ht="12" customHeight="1" x14ac:dyDescent="0.2">
      <c r="A20" s="3" t="s">
        <v>40</v>
      </c>
      <c r="B20" s="34">
        <f>(HPLUS/Kéén+1+Ktwee/HPLUS)^-1</f>
        <v>2.6389926035213409E-7</v>
      </c>
      <c r="C20" s="20"/>
      <c r="H20" t="s">
        <v>41</v>
      </c>
    </row>
    <row r="21" spans="1:8" ht="12" customHeight="1" x14ac:dyDescent="0.2">
      <c r="A21" s="4" t="s">
        <v>42</v>
      </c>
      <c r="B21" s="8">
        <f>ALFAéén*HPLUS/Kéén</f>
        <v>0.99999973610073956</v>
      </c>
      <c r="C21" s="6"/>
    </row>
    <row r="22" spans="1:8" ht="12" customHeight="1" x14ac:dyDescent="0.2">
      <c r="A22" s="4" t="s">
        <v>43</v>
      </c>
      <c r="B22" s="8">
        <f>ALFAéén*Ktwee/HPLUS</f>
        <v>6.2067820071473705E-18</v>
      </c>
      <c r="C22" s="6"/>
      <c r="H22" t="s">
        <v>44</v>
      </c>
    </row>
    <row r="23" spans="1:8" ht="12" customHeight="1" x14ac:dyDescent="0.2">
      <c r="A23" s="4" t="s">
        <v>45</v>
      </c>
      <c r="B23" s="8">
        <f>ALFAéén+2*ALFAtwee</f>
        <v>2.6389926036454767E-7</v>
      </c>
      <c r="C23" s="6"/>
      <c r="H23" t="s">
        <v>46</v>
      </c>
    </row>
    <row r="24" spans="1:8" ht="12" customHeight="1" x14ac:dyDescent="0.2">
      <c r="A24" s="4" t="s">
        <v>47</v>
      </c>
      <c r="B24" s="8">
        <f>(TAM*(PHI-1)+PSI)/PHI</f>
        <v>-3789324754.5241666</v>
      </c>
      <c r="C24" s="6" t="s">
        <v>17</v>
      </c>
    </row>
    <row r="25" spans="1:8" x14ac:dyDescent="0.2">
      <c r="B25" s="32"/>
      <c r="C25" s="14"/>
    </row>
    <row r="26" spans="1:8" x14ac:dyDescent="0.2">
      <c r="A26" s="15" t="s">
        <v>48</v>
      </c>
      <c r="B26" s="33"/>
      <c r="C26" s="17"/>
      <c r="D26" s="24"/>
      <c r="H26" t="s">
        <v>49</v>
      </c>
    </row>
    <row r="27" spans="1:8" ht="12" customHeight="1" x14ac:dyDescent="0.2">
      <c r="A27" s="3" t="s">
        <v>50</v>
      </c>
      <c r="B27" s="34">
        <f>(TAM-PSI)/PHI</f>
        <v>3789324754.5241666</v>
      </c>
      <c r="C27" s="20" t="s">
        <v>17</v>
      </c>
      <c r="D27" s="25">
        <f>CTOT*12.01</f>
        <v>45509790301.835243</v>
      </c>
      <c r="E27" s="4" t="s">
        <v>51</v>
      </c>
      <c r="H27" t="s">
        <v>52</v>
      </c>
    </row>
    <row r="28" spans="1:8" x14ac:dyDescent="0.2">
      <c r="B28" s="32"/>
      <c r="C28" s="14"/>
      <c r="F28" s="26"/>
    </row>
    <row r="29" spans="1:8" x14ac:dyDescent="0.2">
      <c r="A29" s="15" t="s">
        <v>53</v>
      </c>
      <c r="B29" s="33"/>
      <c r="C29" s="18"/>
      <c r="D29" s="27"/>
      <c r="E29" s="19"/>
    </row>
    <row r="30" spans="1:8" ht="12" customHeight="1" x14ac:dyDescent="0.2">
      <c r="A30" s="4" t="s">
        <v>54</v>
      </c>
      <c r="B30" s="8">
        <f>ALFAnul*CTOT</f>
        <v>3789323754.5241661</v>
      </c>
      <c r="C30" s="6" t="s">
        <v>17</v>
      </c>
      <c r="D30" s="28">
        <f>B30*44.008</f>
        <v>166760559789.09952</v>
      </c>
      <c r="E30" s="4" t="s">
        <v>55</v>
      </c>
      <c r="H30" t="s">
        <v>56</v>
      </c>
    </row>
    <row r="31" spans="1:8" ht="12" customHeight="1" x14ac:dyDescent="0.2">
      <c r="A31" s="4" t="s">
        <v>57</v>
      </c>
      <c r="B31" s="8">
        <f>ALFAéén*CTOT</f>
        <v>999.99999995295957</v>
      </c>
      <c r="C31" s="6" t="s">
        <v>17</v>
      </c>
      <c r="D31" s="28">
        <f>B31*61.017</f>
        <v>61016.999997129737</v>
      </c>
      <c r="E31" s="4" t="s">
        <v>58</v>
      </c>
      <c r="H31" t="s">
        <v>59</v>
      </c>
    </row>
    <row r="32" spans="1:8" ht="12" customHeight="1" x14ac:dyDescent="0.2">
      <c r="A32" s="4" t="s">
        <v>60</v>
      </c>
      <c r="B32" s="8">
        <f>ALFAtwee*CTOT</f>
        <v>2.3519512705618724E-8</v>
      </c>
      <c r="C32" s="6" t="s">
        <v>17</v>
      </c>
      <c r="D32" s="28">
        <f>B32*60.007</f>
        <v>1.4113353989260626E-6</v>
      </c>
      <c r="E32" s="4" t="s">
        <v>61</v>
      </c>
    </row>
    <row r="33" spans="1:8" x14ac:dyDescent="0.2">
      <c r="B33" s="32"/>
      <c r="C33" s="14"/>
    </row>
    <row r="34" spans="1:8" x14ac:dyDescent="0.2">
      <c r="A34" s="15" t="s">
        <v>62</v>
      </c>
      <c r="B34" s="33"/>
      <c r="C34" s="18"/>
    </row>
    <row r="35" spans="1:8" x14ac:dyDescent="0.2">
      <c r="A35" s="4" t="s">
        <v>63</v>
      </c>
      <c r="B35" s="8">
        <f>2.3*(HPLUS*1000+OHmin*1000+(ALFAéén*(ALFAnul+ALFAtwee)+4*ALFAnul*ALFAtwee)*CTOT)</f>
        <v>4599.9993931398894</v>
      </c>
      <c r="C35" s="6" t="s">
        <v>64</v>
      </c>
    </row>
    <row r="36" spans="1:8" x14ac:dyDescent="0.2">
      <c r="B36" s="32"/>
      <c r="C36" s="14"/>
    </row>
    <row r="37" spans="1:8" x14ac:dyDescent="0.2">
      <c r="A37" s="15" t="s">
        <v>65</v>
      </c>
      <c r="B37" s="33"/>
      <c r="C37" s="23"/>
      <c r="D37" s="16"/>
      <c r="E37" s="16"/>
      <c r="F37" s="29"/>
    </row>
    <row r="38" spans="1:8" ht="12" customHeight="1" x14ac:dyDescent="0.2">
      <c r="A38" s="3" t="s">
        <v>66</v>
      </c>
      <c r="B38" s="34">
        <f>Ktwee*(((TAM/1000-PSI/1000)*CA/40080/KS)-2)</f>
        <v>-4.7039025413450182E-11</v>
      </c>
      <c r="C38" s="20" t="s">
        <v>28</v>
      </c>
    </row>
    <row r="39" spans="1:8" ht="12" customHeight="1" x14ac:dyDescent="0.2">
      <c r="A39" s="4" t="s">
        <v>67</v>
      </c>
      <c r="B39" s="28" t="e">
        <f>-LOG10(HplusEV)+M/2</f>
        <v>#NUM!</v>
      </c>
      <c r="C39" s="6"/>
      <c r="H39" t="s">
        <v>68</v>
      </c>
    </row>
    <row r="40" spans="1:8" ht="12" customHeight="1" x14ac:dyDescent="0.2">
      <c r="A40" s="39" t="s">
        <v>69</v>
      </c>
      <c r="B40" s="40" t="e">
        <f>PH-pHEV</f>
        <v>#NUM!</v>
      </c>
      <c r="C40" s="41"/>
      <c r="F40" s="30"/>
      <c r="H40" t="s">
        <v>70</v>
      </c>
    </row>
    <row r="41" spans="1:8" x14ac:dyDescent="0.2">
      <c r="H41" t="s">
        <v>71</v>
      </c>
    </row>
  </sheetData>
  <mergeCells count="1">
    <mergeCell ref="A1:K1"/>
  </mergeCells>
  <pageMargins left="0.75" right="0.75" top="1" bottom="1" header="0.5" footer="0.5"/>
  <pageSetup paperSize="9" orientation="landscape" horizontalDpi="300" verticalDpi="300" r:id="rId1"/>
  <headerFooter alignWithMargins="0">
    <oddFooter>&amp;Ldocsnr 129060&amp;C&amp;A&amp;R&amp;D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Referentielabo document" ma:contentTypeID="0x010100ADB461611320064186A0919C260B98D500CDD2DEF099265740806FB1B13DE7C897" ma:contentTypeVersion="13" ma:contentTypeDescription="" ma:contentTypeScope="" ma:versionID="826c67eb11d44a7b005282d90964ee01">
  <xsd:schema xmlns:xsd="http://www.w3.org/2001/XMLSchema" xmlns:xs="http://www.w3.org/2001/XMLSchema" xmlns:p="http://schemas.microsoft.com/office/2006/metadata/properties" xmlns:ns2="dda9e79c-c62e-445e-b991-197574827cb3" xmlns:ns3="92fb042b-10d4-4ca5-b2c8-46d1f7f6485c" targetNamespace="http://schemas.microsoft.com/office/2006/metadata/properties" ma:root="true" ma:fieldsID="ca7ee05d48d405637a93bcde393af8c9" ns2:_="" ns3:_="">
    <xsd:import namespace="dda9e79c-c62e-445e-b991-197574827cb3"/>
    <xsd:import namespace="92fb042b-10d4-4ca5-b2c8-46d1f7f6485c"/>
    <xsd:element name="properties">
      <xsd:complexType>
        <xsd:sequence>
          <xsd:element name="documentManagement">
            <xsd:complexType>
              <xsd:all>
                <xsd:element ref="ns2:Compendium_x0020_keuze"/>
                <xsd:element ref="ns2:Matrix_x0020_keuze"/>
                <xsd:element ref="ns2:Publicatiedatum"/>
                <xsd:element ref="ns2:Code"/>
                <xsd:element ref="ns2:Parameter"/>
                <xsd:element ref="ns2:Publiceren_x0020_als"/>
                <xsd:element ref="ns3:MediaServiceMetadata" minOccurs="0"/>
                <xsd:element ref="ns3:MediaServiceFastMetadata" minOccurs="0"/>
                <xsd:element ref="ns3:PublicUR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da9e79c-c62e-445e-b991-197574827cb3" elementFormDefault="qualified">
    <xsd:import namespace="http://schemas.microsoft.com/office/2006/documentManagement/types"/>
    <xsd:import namespace="http://schemas.microsoft.com/office/infopath/2007/PartnerControls"/>
    <xsd:element name="Compendium_x0020_keuze" ma:index="2" ma:displayName="Compendium keuze" ma:format="Dropdown" ma:internalName="Compendium_x0020_keuze" ma:readOnly="false">
      <xsd:simpleType>
        <xsd:restriction base="dms:Choice">
          <xsd:enumeration value="BAM"/>
          <xsd:enumeration value="BOC"/>
          <xsd:enumeration value="CMA"/>
          <xsd:enumeration value="LUC"/>
          <xsd:enumeration value="WAC"/>
        </xsd:restriction>
      </xsd:simpleType>
    </xsd:element>
    <xsd:element name="Matrix_x0020_keuze" ma:index="3" ma:displayName="Matrix keuze" ma:format="Dropdown" ma:internalName="Matrix_x0020_keuze" ma:readOnly="false">
      <xsd:simpleType>
        <xsd:restriction base="dms:Choice">
          <xsd:enumeration value="Algemeen"/>
          <xsd:enumeration value="Analysemethoden voor bodemsaneringswerken"/>
          <xsd:enumeration value="Anorganische analysemethoden"/>
          <xsd:enumeration value="Anorganische analysemethoden / Afgewerkte olie"/>
          <xsd:enumeration value="Anorganische analysemethoden / Vaste stoffen"/>
          <xsd:enumeration value="Anorganische analysemethoden / Water"/>
          <xsd:enumeration value="Anorganische analysemethoden / Compost"/>
          <xsd:enumeration value="Anorganische analysemethoden / Meststof-BVM"/>
          <xsd:enumeration value="Bacteriologische analysemethoden"/>
          <xsd:enumeration value="Biologische analysemethoden"/>
          <xsd:enumeration value="Bodem"/>
          <xsd:enumeration value="Diffuse emissies, emissiefactoren, rendementsbepaling etc"/>
          <xsd:enumeration value="Gasvormige componenten met instrumentele technieken"/>
          <xsd:enumeration value="Gasvormige componenten of totaal (gas+stof), (nat)chemische bemonstering"/>
          <xsd:enumeration value="Gasvormige rookgascomponenten, met meettoestellen gemeten"/>
          <xsd:enumeration value="Microbiologische analysemethoden"/>
          <xsd:enumeration value="Monsterneming"/>
          <xsd:enumeration value="Monstervoorbehandeling"/>
          <xsd:enumeration value="Organische analysemethoden"/>
          <xsd:enumeration value="Organoleptische analysemethoden"/>
          <xsd:enumeration value="Stofvormige componenten met isokinetische bemonstering"/>
          <xsd:enumeration value="Validatie"/>
          <xsd:enumeration value="Vaste behandelde mest"/>
          <xsd:enumeration value="Vaste mest"/>
          <xsd:enumeration value="Vaste mest en vaste behandelde mest"/>
          <xsd:enumeration value="Vaste dierlijke mest"/>
          <xsd:enumeration value="Veevoeders"/>
          <xsd:enumeration value="Verwerkte mest"/>
          <xsd:enumeration value="Vloeibare mest"/>
          <xsd:enumeration value="Vloeibare mest en vloeibare behandelde mest"/>
          <xsd:enumeration value="Vloeibare dierlijke mest"/>
          <xsd:enumeration value="Vluchtige organische stoffen - monstername"/>
          <xsd:enumeration value="Vluchtige organische stoffen - analyse"/>
          <xsd:enumeration value="Zeer vluchtige organische stoffen die in gasvorm bemonsterd worden"/>
          <xsd:enumeration value="Zware componenten met meerfasenbemonstering"/>
        </xsd:restriction>
      </xsd:simpleType>
    </xsd:element>
    <xsd:element name="Publicatiedatum" ma:index="4" ma:displayName="Publicatiedatum" ma:default="[today]" ma:format="DateOnly" ma:internalName="Publicatiedatum" ma:readOnly="false">
      <xsd:simpleType>
        <xsd:restriction base="dms:DateTime"/>
      </xsd:simpleType>
    </xsd:element>
    <xsd:element name="Code" ma:index="5" ma:displayName="Code" ma:internalName="Code" ma:readOnly="false">
      <xsd:simpleType>
        <xsd:restriction base="dms:Text">
          <xsd:maxLength value="50"/>
        </xsd:restriction>
      </xsd:simpleType>
    </xsd:element>
    <xsd:element name="Parameter" ma:index="6" ma:displayName="Parameter" ma:internalName="Parameter" ma:readOnly="false">
      <xsd:simpleType>
        <xsd:restriction base="dms:Text">
          <xsd:maxLength value="50"/>
        </xsd:restriction>
      </xsd:simpleType>
    </xsd:element>
    <xsd:element name="Publiceren_x0020_als" ma:index="7" ma:displayName="Publiceren als" ma:default="Werkdocument" ma:format="RadioButtons" ma:internalName="Publiceren_x0020_als" ma:readOnly="false">
      <xsd:simpleType>
        <xsd:restriction base="dms:Choice">
          <xsd:enumeration value="Werkdocument"/>
          <xsd:enumeration value="Ontwerpmethode"/>
          <xsd:enumeration value="Definitieve methode"/>
          <xsd:enumeration value="In Review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2fb042b-10d4-4ca5-b2c8-46d1f7f6485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4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5" nillable="true" ma:displayName="MediaServiceFastMetadata" ma:hidden="true" ma:internalName="MediaServiceFastMetadata" ma:readOnly="true">
      <xsd:simpleType>
        <xsd:restriction base="dms:Note"/>
      </xsd:simpleType>
    </xsd:element>
    <xsd:element name="PublicURL" ma:index="16" nillable="true" ma:displayName="PublicURL" ma:internalName="PublicURL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9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arameter xmlns="dda9e79c-c62e-445e-b991-197574827cb3">Saturatie index</Parameter>
    <Publiceren_x0020_als xmlns="dda9e79c-c62e-445e-b991-197574827cb3">Ontwerpmethode</Publiceren_x0020_als>
    <Compendium_x0020_keuze xmlns="dda9e79c-c62e-445e-b991-197574827cb3">WAC</Compendium_x0020_keuze>
    <Code xmlns="dda9e79c-c62e-445e-b991-197574827cb3">WAC_III_A_011 Berekening SI</Code>
    <Publicatiedatum xmlns="dda9e79c-c62e-445e-b991-197574827cb3">2018-10-15T22:00:00+00:00</Publicatiedatum>
    <Matrix_x0020_keuze xmlns="dda9e79c-c62e-445e-b991-197574827cb3">Anorganische analysemethoden</Matrix_x0020_keuze>
    <PublicURL xmlns="92fb042b-10d4-4ca5-b2c8-46d1f7f6485c" xsi:nil="true"/>
  </documentManagement>
</p:properties>
</file>

<file path=customXml/item3.xml><?xml version="1.0" encoding="utf-8"?>
<?mso-contentType ?>
<FormTemplates xmlns="http://schemas.microsoft.com/sharepoint/v3/contenttype/forms"/>
</file>

<file path=customXml/itemProps1.xml><?xml version="1.0" encoding="utf-8"?>
<ds:datastoreItem xmlns:ds="http://schemas.openxmlformats.org/officeDocument/2006/customXml" ds:itemID="{E0E12D36-D95C-47E7-AAAA-D767137B39DF}"/>
</file>

<file path=customXml/itemProps2.xml><?xml version="1.0" encoding="utf-8"?>
<ds:datastoreItem xmlns:ds="http://schemas.openxmlformats.org/officeDocument/2006/customXml" ds:itemID="{9EB93424-AFF2-404D-9FE1-309CA6E24142}"/>
</file>

<file path=customXml/itemProps3.xml><?xml version="1.0" encoding="utf-8"?>
<ds:datastoreItem xmlns:ds="http://schemas.openxmlformats.org/officeDocument/2006/customXml" ds:itemID="{0E1EA47F-0260-4AA3-B867-698ACB44CF3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24</vt:i4>
      </vt:variant>
    </vt:vector>
  </HeadingPairs>
  <TitlesOfParts>
    <vt:vector size="25" baseType="lpstr">
      <vt:lpstr>kalk-koolzuur</vt:lpstr>
      <vt:lpstr>ALFAéén</vt:lpstr>
      <vt:lpstr>ALFAnul</vt:lpstr>
      <vt:lpstr>ALFAtwee</vt:lpstr>
      <vt:lpstr>CA</vt:lpstr>
      <vt:lpstr>CTEMP</vt:lpstr>
      <vt:lpstr>CTOT</vt:lpstr>
      <vt:lpstr>GEL</vt:lpstr>
      <vt:lpstr>HPLUS</vt:lpstr>
      <vt:lpstr>HplusEV</vt:lpstr>
      <vt:lpstr>Kéén</vt:lpstr>
      <vt:lpstr>KS</vt:lpstr>
      <vt:lpstr>KTEMP</vt:lpstr>
      <vt:lpstr>Ktwee</vt:lpstr>
      <vt:lpstr>KWATER</vt:lpstr>
      <vt:lpstr>M</vt:lpstr>
      <vt:lpstr>MU</vt:lpstr>
      <vt:lpstr>OHmin</vt:lpstr>
      <vt:lpstr>PH</vt:lpstr>
      <vt:lpstr>pHEV</vt:lpstr>
      <vt:lpstr>PHI</vt:lpstr>
      <vt:lpstr>PSI</vt:lpstr>
      <vt:lpstr>SI</vt:lpstr>
      <vt:lpstr>TAM</vt:lpstr>
      <vt:lpstr>TAP</vt:lpstr>
    </vt:vector>
  </TitlesOfParts>
  <Company>VITO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Berekening Saturatie index SI</dc:title>
  <dc:creator>Tirez Kristof</dc:creator>
  <cp:lastModifiedBy>Meynen Greet</cp:lastModifiedBy>
  <dcterms:created xsi:type="dcterms:W3CDTF">2018-02-08T16:28:54Z</dcterms:created>
  <dcterms:modified xsi:type="dcterms:W3CDTF">2018-10-25T14:00:41Z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0x010100ADB461611320064186A0919C260B98D500CDD2DEF099265740806FB1B13DE7C897</vt:lpwstr>
  </property>
  <property fmtid="{D5CDD505-2E9C-101B-9397-08002B2CF9AE}" pid="3" name="Order">
    <vt:r8>1600</vt:r8>
  </property>
</Properties>
</file>