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Vito werkwijze Vito" sheetId="1" r:id="rId1"/>
    <sheet name="vb niet Vito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<sst xmlns="http://schemas.openxmlformats.org/spreadsheetml/2006/main" count="222" uniqueCount="132">
  <si>
    <t>Repeatability (g)</t>
  </si>
  <si>
    <t>Linearity (g)</t>
  </si>
  <si>
    <t>MEETPLAATS</t>
  </si>
  <si>
    <t>DATUM</t>
  </si>
  <si>
    <t>Bemonsteringsunit</t>
  </si>
  <si>
    <t>Tecora</t>
  </si>
  <si>
    <t>Praktisch berekeningsvoorbeeld</t>
  </si>
  <si>
    <t>Aangezogen volume (l)</t>
  </si>
  <si>
    <t>temperatuur gasteller (°C)</t>
  </si>
  <si>
    <t>V (Nl)</t>
  </si>
  <si>
    <t>Atmosfeerdruk (mbar)</t>
  </si>
  <si>
    <t>%</t>
  </si>
  <si>
    <t>Meetwaarde x</t>
  </si>
  <si>
    <t>u(x)</t>
  </si>
  <si>
    <t>u(x)/x</t>
  </si>
  <si>
    <t>in te geven velden</t>
  </si>
  <si>
    <t>MIE-ILU-006</t>
  </si>
  <si>
    <t>Technische specificaties balans voor weging absorptievloeistoffen</t>
  </si>
  <si>
    <t>Balansnummer</t>
  </si>
  <si>
    <t>Eindgewicht staalnamepot</t>
  </si>
  <si>
    <t>Begingewicht staalnamepot</t>
  </si>
  <si>
    <t>Hypothetisch</t>
  </si>
  <si>
    <t>Weging absorptievloeistof</t>
  </si>
  <si>
    <t>Bias analyse</t>
  </si>
  <si>
    <t>MIE-ILU-233</t>
  </si>
  <si>
    <t>readability in g (digitale resolutie)</t>
  </si>
  <si>
    <t>Gewicht absorptievloeistof</t>
  </si>
  <si>
    <t>Bemonsteringsfactoren</t>
  </si>
  <si>
    <t>Druk gasteller (= hier p atmosfeer)</t>
  </si>
  <si>
    <t>(*) Tolerantie= (Vn aanzuigeenheid tijdens kalibratie-Vn ref aangeboden)/Vn ref aangeboden*100</t>
  </si>
  <si>
    <t>Tolerantie (*) op Vn aangezogen met aanzuigeenheid tijdens kalibratie</t>
  </si>
  <si>
    <t>MEETONZEKERHEIDSBEREKENING NATCHEMISCHE BEPALING VAN HCl IN EEN GASSTROOM</t>
  </si>
  <si>
    <t>VITO-SCENARIO</t>
  </si>
  <si>
    <t>niet in meetonzekerheid in rekening te brengen</t>
  </si>
  <si>
    <t>1) representativiteit meetdoorsnede</t>
  </si>
  <si>
    <t>randvoorwaarden meetplaats en meetplanning (zie ontw VDI 4219)</t>
  </si>
  <si>
    <t>2) Anderen</t>
  </si>
  <si>
    <t>% bijdrage</t>
  </si>
  <si>
    <t>Analyse (ionchromatografie)</t>
  </si>
  <si>
    <t>Voorbereiding monsterneming</t>
  </si>
  <si>
    <t>Monsterneming</t>
  </si>
  <si>
    <t>Absorptie in sonde en leidingen</t>
  </si>
  <si>
    <t>uit norm ?</t>
  </si>
  <si>
    <t>Toegelaten lek</t>
  </si>
  <si>
    <t>conc&gt;5 mg/Nm3</t>
  </si>
  <si>
    <t>conc ts 2-5 mg/Nm3</t>
  </si>
  <si>
    <t>max % bijdrage</t>
  </si>
  <si>
    <t xml:space="preserve">1% tolerantie </t>
  </si>
  <si>
    <t>Herhaalbaarheid weging staalnamepot (gevuld)</t>
  </si>
  <si>
    <t>weging</t>
  </si>
  <si>
    <t>g</t>
  </si>
  <si>
    <t xml:space="preserve">Volgens waternorm prEN 14790:2003 </t>
  </si>
  <si>
    <t>Performantie karakteristiek</t>
  </si>
  <si>
    <t>Gasvolume</t>
  </si>
  <si>
    <t>overall uncertainty</t>
  </si>
  <si>
    <t>&lt;= ±2% van de meetwaarde</t>
  </si>
  <si>
    <t>standaardonzekerheid op primaire volume-standaard (Bell-Prover)</t>
  </si>
  <si>
    <t xml:space="preserve"> </t>
  </si>
  <si>
    <t>precisie</t>
  </si>
  <si>
    <t>HCl analyse</t>
  </si>
  <si>
    <t>bias</t>
  </si>
  <si>
    <t>conc niveau</t>
  </si>
  <si>
    <t>gem</t>
  </si>
  <si>
    <t>globaal gem</t>
  </si>
  <si>
    <t>% precisie</t>
  </si>
  <si>
    <t>% bias</t>
  </si>
  <si>
    <t>waarde onafhankelijk van conc in validatie</t>
  </si>
  <si>
    <t>absorptie-efficiëntie wasflessen</t>
  </si>
  <si>
    <t>min uit norm</t>
  </si>
  <si>
    <t>beperkte efficiëntie wasflessen</t>
  </si>
  <si>
    <t>maximum</t>
  </si>
  <si>
    <t>TOTAAL</t>
  </si>
  <si>
    <t>Fout op concentratie ten gevolge van afwijking isokinetisme (bij aanwezigheid druppels)</t>
  </si>
  <si>
    <t>indien geen druppels, fout weglaten</t>
  </si>
  <si>
    <t>Doorbraak van stofvormig chloride door filter</t>
  </si>
  <si>
    <t>concentratie chloride in absorptievloeistof (mg/1000 g)</t>
  </si>
  <si>
    <t>concentratie HCl in absorptievloeistof (mg/1000 g)</t>
  </si>
  <si>
    <t>UITGEBREIDE MEETONZEKERHEID op HCl in %</t>
  </si>
  <si>
    <t xml:space="preserve">RELATIEVE STANDAARD MEETONZEKERHEID op HCl in kg/Nm3dr </t>
  </si>
  <si>
    <t>Blanco-criterium norm EN-1911 (indien niet gecorrigeerd wordt voor blanco)</t>
  </si>
  <si>
    <r>
      <t>HCl-CONC &gt; 5 mg/Nm</t>
    </r>
    <r>
      <rPr>
        <b/>
        <vertAlign val="superscript"/>
        <sz val="12"/>
        <rFont val="Arial"/>
        <family val="2"/>
      </rPr>
      <t>3</t>
    </r>
  </si>
  <si>
    <r>
      <t>HCl-CONC 2- 5 mg/Nm</t>
    </r>
    <r>
      <rPr>
        <b/>
        <vertAlign val="superscript"/>
        <sz val="12"/>
        <rFont val="Arial"/>
        <family val="2"/>
      </rPr>
      <t>3</t>
    </r>
  </si>
  <si>
    <t>Overbrengen van absorptievoeistof naar recipiënt</t>
  </si>
  <si>
    <t>uitspoelen wasflessen</t>
  </si>
  <si>
    <t>Monstertransport</t>
  </si>
  <si>
    <t>Reproduceerbaarheid analyse</t>
  </si>
  <si>
    <t>Maximum limieten van meetonzekerheid volgens EN 1911 (hier als tolerantie opgevat ?)</t>
  </si>
  <si>
    <t>°C</t>
  </si>
  <si>
    <t>mbar</t>
  </si>
  <si>
    <t>of 1 kPa</t>
  </si>
  <si>
    <t>herhaalmetingen tecora</t>
  </si>
  <si>
    <t>stdev</t>
  </si>
  <si>
    <t>rsd (%)</t>
  </si>
  <si>
    <t>gemeten</t>
  </si>
  <si>
    <t>temperatuur (K)</t>
  </si>
  <si>
    <t>Standaardonzekerheid op volumebepaling met maatkolf</t>
  </si>
  <si>
    <t>herhaalbaarheid aanlengen</t>
  </si>
  <si>
    <t>kalibratiegegevens leveranciermaatkolven 500 ml</t>
  </si>
  <si>
    <t>temperatuurseffecten (uitzetting glas kolf ten gevolge van 4°C temp wijziging in labo)</t>
  </si>
  <si>
    <t>Volume absorptievloeistof na aanlengen</t>
  </si>
  <si>
    <t>NIET VITO SCENARIO</t>
  </si>
  <si>
    <t xml:space="preserve">RELATIEVE STANDAARD MEETONZEKERHEID op HCl </t>
  </si>
  <si>
    <r>
      <t>HCl concentratie gemeten in de gasstroom (mg/Nm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dr)</t>
    </r>
  </si>
  <si>
    <t>Fout op Aangezogen volume (l)  uit kalibratie</t>
  </si>
  <si>
    <t xml:space="preserve">standaardonzekerheid op primaire volume-standaard </t>
  </si>
  <si>
    <t>Fout op aangezogen volume ingesteld met processor (l) ten gevolge van gebruik processor</t>
  </si>
  <si>
    <t>indien HCl-conc &gt; 5 mg/Nm3</t>
  </si>
  <si>
    <t>indien HCl-conc ts 2-5 mg/Nm3dr</t>
  </si>
  <si>
    <t>stel herhaalbaarheidsstandaardafwijking = 5% van meetwaarde</t>
  </si>
  <si>
    <t>omrekening van chloride naar HCl-concentratie in absorptievloeistof (mg/l)</t>
  </si>
  <si>
    <t>herhaalbaarheids-standaardafwijking</t>
  </si>
  <si>
    <t>herhaalbaarheidsstandaardafwijking chloride-analyse in absorptievloeistof (mg/l)</t>
  </si>
  <si>
    <t>Fouten op moleculaire gewichten worden verwaarloosd</t>
  </si>
  <si>
    <t>Overbrengen van absorptievoeistof naar recipiënt/uitspoelen WF</t>
  </si>
  <si>
    <t>Monstertransport (zie ook ontw VDI 4219)</t>
  </si>
  <si>
    <t xml:space="preserve">te veel in norm </t>
  </si>
  <si>
    <t>niet in MO in rekening brengen</t>
  </si>
  <si>
    <t>gewogen wat achter</t>
  </si>
  <si>
    <t xml:space="preserve"> blijft bij 3x spoelen </t>
  </si>
  <si>
    <t>volgens</t>
  </si>
  <si>
    <t>QUAM</t>
  </si>
  <si>
    <t xml:space="preserve">combinatie fouten </t>
  </si>
  <si>
    <t>processor: max 0,5 l</t>
  </si>
  <si>
    <t xml:space="preserve">Fout op V door gebruik </t>
  </si>
  <si>
    <t xml:space="preserve">inbegrepen (kalibratie </t>
  </si>
  <si>
    <t>volledige unit)</t>
  </si>
  <si>
    <t xml:space="preserve">Fouten op T en p </t>
  </si>
  <si>
    <t xml:space="preserve">kalibratie-tolerantie en </t>
  </si>
  <si>
    <t>onzekerheid primaire</t>
  </si>
  <si>
    <t>standaard</t>
  </si>
  <si>
    <t>conc &gt; 5 mg/Nm3</t>
  </si>
  <si>
    <t>conc ts 2-5 mg/Nm3dr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</si>
</sst>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0.0000"/>
    <numFmt numFmtId="182" formatCode="0.000"/>
    <numFmt numFmtId="183" formatCode="0.00000"/>
    <numFmt numFmtId="184" formatCode="0.000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35" borderId="13" xfId="0" applyFill="1" applyBorder="1" applyAlignment="1">
      <alignment/>
    </xf>
    <xf numFmtId="14" fontId="0" fillId="35" borderId="13" xfId="0" applyNumberFormat="1" applyFill="1" applyBorder="1" applyAlignment="1">
      <alignment/>
    </xf>
    <xf numFmtId="181" fontId="0" fillId="33" borderId="13" xfId="0" applyNumberFormat="1" applyFill="1" applyBorder="1" applyAlignment="1">
      <alignment/>
    </xf>
    <xf numFmtId="182" fontId="0" fillId="33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80" fontId="0" fillId="33" borderId="13" xfId="0" applyNumberFormat="1" applyFill="1" applyBorder="1" applyAlignment="1">
      <alignment/>
    </xf>
    <xf numFmtId="180" fontId="1" fillId="33" borderId="11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1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6" borderId="13" xfId="0" applyFill="1" applyBorder="1" applyAlignment="1">
      <alignment/>
    </xf>
    <xf numFmtId="180" fontId="0" fillId="36" borderId="13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180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2" fontId="0" fillId="35" borderId="13" xfId="0" applyNumberFormat="1" applyFill="1" applyBorder="1" applyAlignment="1">
      <alignment/>
    </xf>
    <xf numFmtId="180" fontId="0" fillId="35" borderId="13" xfId="0" applyNumberFormat="1" applyFill="1" applyBorder="1" applyAlignment="1">
      <alignment/>
    </xf>
    <xf numFmtId="182" fontId="0" fillId="35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" fontId="0" fillId="35" borderId="13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1" fillId="37" borderId="13" xfId="0" applyFont="1" applyFill="1" applyBorder="1" applyAlignment="1">
      <alignment/>
    </xf>
    <xf numFmtId="0" fontId="0" fillId="38" borderId="13" xfId="0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181" fontId="1" fillId="33" borderId="13" xfId="0" applyNumberFormat="1" applyFont="1" applyFill="1" applyBorder="1" applyAlignment="1">
      <alignment/>
    </xf>
    <xf numFmtId="182" fontId="1" fillId="33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5" xfId="0" applyBorder="1" applyAlignment="1">
      <alignment/>
    </xf>
    <xf numFmtId="180" fontId="0" fillId="0" borderId="0" xfId="0" applyNumberFormat="1" applyAlignment="1">
      <alignment/>
    </xf>
    <xf numFmtId="2" fontId="0" fillId="36" borderId="13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1" fillId="0" borderId="13" xfId="0" applyNumberFormat="1" applyFont="1" applyBorder="1" applyAlignment="1">
      <alignment/>
    </xf>
    <xf numFmtId="180" fontId="6" fillId="36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 horizontal="right"/>
    </xf>
    <xf numFmtId="0" fontId="6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74.7109375" style="0" customWidth="1"/>
    <col min="2" max="2" width="18.140625" style="0" bestFit="1" customWidth="1"/>
    <col min="3" max="3" width="15.00390625" style="0" customWidth="1"/>
    <col min="4" max="4" width="12.421875" style="0" bestFit="1" customWidth="1"/>
    <col min="5" max="5" width="19.140625" style="0" customWidth="1"/>
  </cols>
  <sheetData>
    <row r="1" ht="18">
      <c r="A1" s="27" t="s">
        <v>32</v>
      </c>
    </row>
    <row r="2" ht="12.75">
      <c r="A2" s="1" t="s">
        <v>31</v>
      </c>
    </row>
    <row r="3" ht="12.75">
      <c r="C3" s="10"/>
    </row>
    <row r="4" spans="1:3" ht="12.75">
      <c r="A4" s="5" t="s">
        <v>6</v>
      </c>
      <c r="C4" t="s">
        <v>15</v>
      </c>
    </row>
    <row r="6" spans="1:3" ht="12.75">
      <c r="A6" s="17" t="s">
        <v>2</v>
      </c>
      <c r="B6" s="29" t="s">
        <v>3</v>
      </c>
      <c r="C6" s="6"/>
    </row>
    <row r="7" spans="1:3" ht="12.75">
      <c r="A7" s="10" t="s">
        <v>21</v>
      </c>
      <c r="B7" s="11"/>
      <c r="C7" s="6"/>
    </row>
    <row r="8" spans="1:3" ht="12.75">
      <c r="A8" s="6"/>
      <c r="B8" s="7"/>
      <c r="C8" s="6"/>
    </row>
    <row r="9" spans="1:3" ht="12.75">
      <c r="A9" s="6" t="s">
        <v>10</v>
      </c>
      <c r="B9" s="10">
        <v>1031</v>
      </c>
      <c r="C9" s="6"/>
    </row>
    <row r="10" spans="1:3" ht="12.75">
      <c r="A10" s="6" t="s">
        <v>4</v>
      </c>
      <c r="B10" s="64" t="s">
        <v>16</v>
      </c>
      <c r="C10" s="10" t="s">
        <v>5</v>
      </c>
    </row>
    <row r="11" spans="1:3" ht="12.75">
      <c r="A11" s="6"/>
      <c r="B11" s="6"/>
      <c r="C11" s="6"/>
    </row>
    <row r="12" spans="1:3" ht="15.75">
      <c r="A12" s="30" t="s">
        <v>27</v>
      </c>
      <c r="B12" s="6"/>
      <c r="C12" s="6"/>
    </row>
    <row r="13" spans="1:3" ht="12.75">
      <c r="A13" s="60"/>
      <c r="B13" s="6"/>
      <c r="C13" s="29" t="s">
        <v>37</v>
      </c>
    </row>
    <row r="14" spans="1:6" ht="12.75">
      <c r="A14" s="28" t="s">
        <v>35</v>
      </c>
      <c r="B14" s="6"/>
      <c r="C14" s="32">
        <f>SQRT(C15^2+C16^2)</f>
        <v>3.1622776601683795</v>
      </c>
      <c r="D14" s="62" t="s">
        <v>116</v>
      </c>
      <c r="E14" s="61"/>
      <c r="F14" s="63"/>
    </row>
    <row r="15" spans="1:3" ht="12.75">
      <c r="A15" s="6" t="s">
        <v>34</v>
      </c>
      <c r="B15" s="6"/>
      <c r="C15" s="6">
        <v>3</v>
      </c>
    </row>
    <row r="16" spans="1:3" ht="12.75">
      <c r="A16" s="6" t="s">
        <v>36</v>
      </c>
      <c r="B16" s="6"/>
      <c r="C16" s="6">
        <v>1</v>
      </c>
    </row>
    <row r="17" spans="1:3" ht="12.75">
      <c r="A17" s="6"/>
      <c r="B17" s="6"/>
      <c r="C17" s="6"/>
    </row>
    <row r="18" spans="1:4" ht="12.75">
      <c r="A18" s="28" t="s">
        <v>39</v>
      </c>
      <c r="B18" s="6"/>
      <c r="C18" s="29" t="s">
        <v>46</v>
      </c>
      <c r="D18" s="45" t="s">
        <v>14</v>
      </c>
    </row>
    <row r="19" spans="1:4" ht="12.75">
      <c r="A19" s="6" t="s">
        <v>79</v>
      </c>
      <c r="B19" s="6" t="s">
        <v>44</v>
      </c>
      <c r="C19" s="10">
        <v>10</v>
      </c>
      <c r="D19" s="44">
        <f>C19/SQRT(3)/100</f>
        <v>0.05773502691896258</v>
      </c>
    </row>
    <row r="20" spans="1:4" ht="12.75">
      <c r="A20" s="60"/>
      <c r="B20" s="6" t="s">
        <v>45</v>
      </c>
      <c r="C20" s="10">
        <v>20</v>
      </c>
      <c r="D20" s="44">
        <f>C20/SQRT(3)/100</f>
        <v>0.11547005383792516</v>
      </c>
    </row>
    <row r="21" spans="1:10" ht="12.75">
      <c r="A21" s="28" t="s">
        <v>40</v>
      </c>
      <c r="B21" s="6"/>
      <c r="C21" s="6"/>
      <c r="J21" s="38"/>
    </row>
    <row r="22" spans="1:4" ht="12.75">
      <c r="A22" s="6" t="s">
        <v>72</v>
      </c>
      <c r="B22" s="6"/>
      <c r="C22" s="40">
        <v>3</v>
      </c>
      <c r="D22" t="s">
        <v>73</v>
      </c>
    </row>
    <row r="23" spans="1:4" ht="12.75">
      <c r="A23" s="6" t="s">
        <v>67</v>
      </c>
      <c r="B23" s="6"/>
      <c r="C23" s="40">
        <v>95</v>
      </c>
      <c r="D23" t="s">
        <v>68</v>
      </c>
    </row>
    <row r="24" spans="1:4" ht="12.75">
      <c r="A24" s="6" t="s">
        <v>69</v>
      </c>
      <c r="B24" s="6"/>
      <c r="C24" s="41">
        <f>100-C23</f>
        <v>5</v>
      </c>
      <c r="D24" t="s">
        <v>70</v>
      </c>
    </row>
    <row r="25" spans="1:4" ht="12.75">
      <c r="A25" s="6" t="s">
        <v>41</v>
      </c>
      <c r="B25" s="6"/>
      <c r="C25" s="40">
        <v>2</v>
      </c>
      <c r="D25" t="s">
        <v>70</v>
      </c>
    </row>
    <row r="26" spans="1:3" ht="12.75">
      <c r="A26" s="6" t="s">
        <v>74</v>
      </c>
      <c r="B26" s="6"/>
      <c r="C26" s="40">
        <v>1</v>
      </c>
    </row>
    <row r="27" spans="1:4" ht="12.75">
      <c r="A27" s="6" t="s">
        <v>43</v>
      </c>
      <c r="B27" s="6"/>
      <c r="C27" s="10">
        <v>2</v>
      </c>
      <c r="D27" s="45" t="s">
        <v>14</v>
      </c>
    </row>
    <row r="28" spans="1:4" ht="12.75">
      <c r="A28" s="42" t="s">
        <v>71</v>
      </c>
      <c r="B28" s="43"/>
      <c r="C28" s="15">
        <f>SQRT((C22/SQRT(3))^2+(C24/SQRT(3))^2+(C25/SQRT(3))^2+(C27/SQRT(3))^2+C26^2)</f>
        <v>3.8729833462074175</v>
      </c>
      <c r="D28" s="44">
        <f>C28/100</f>
        <v>0.038729833462074176</v>
      </c>
    </row>
    <row r="29" spans="1:3" ht="12.75">
      <c r="A29" s="6"/>
      <c r="B29" s="6"/>
      <c r="C29" s="6"/>
    </row>
    <row r="30" spans="1:3" ht="12.75">
      <c r="A30" s="28" t="s">
        <v>114</v>
      </c>
      <c r="B30" s="6"/>
      <c r="C30" s="6"/>
    </row>
    <row r="31" spans="1:5" ht="12.75">
      <c r="A31" s="6" t="s">
        <v>113</v>
      </c>
      <c r="B31" s="6"/>
      <c r="C31" s="10">
        <v>0</v>
      </c>
      <c r="E31" t="s">
        <v>115</v>
      </c>
    </row>
    <row r="32" spans="1:5" ht="12.75">
      <c r="A32" s="42" t="s">
        <v>71</v>
      </c>
      <c r="B32" s="6"/>
      <c r="C32" s="26">
        <f>C31</f>
        <v>0</v>
      </c>
      <c r="D32" s="44">
        <f>C32/100</f>
        <v>0</v>
      </c>
      <c r="E32" t="s">
        <v>117</v>
      </c>
    </row>
    <row r="33" spans="1:5" ht="12.75">
      <c r="A33" s="6"/>
      <c r="B33" s="6"/>
      <c r="C33" s="6"/>
      <c r="E33" t="s">
        <v>118</v>
      </c>
    </row>
    <row r="34" spans="1:3" ht="15.75">
      <c r="A34" s="30" t="s">
        <v>17</v>
      </c>
      <c r="B34" s="6"/>
      <c r="C34" s="6"/>
    </row>
    <row r="35" spans="1:3" ht="12.75">
      <c r="A35" s="19" t="s">
        <v>18</v>
      </c>
      <c r="B35" s="10" t="s">
        <v>24</v>
      </c>
      <c r="C35" s="6"/>
    </row>
    <row r="36" spans="1:3" ht="12.75">
      <c r="A36" s="6" t="s">
        <v>0</v>
      </c>
      <c r="B36" s="10">
        <v>0.01</v>
      </c>
      <c r="C36" s="6"/>
    </row>
    <row r="37" spans="1:3" ht="12.75">
      <c r="A37" s="6" t="s">
        <v>25</v>
      </c>
      <c r="B37" s="10">
        <v>0.01</v>
      </c>
      <c r="C37" s="6"/>
    </row>
    <row r="38" spans="1:3" ht="12.75">
      <c r="A38" s="6" t="s">
        <v>1</v>
      </c>
      <c r="B38" s="10">
        <v>0.02</v>
      </c>
      <c r="C38" s="6"/>
    </row>
    <row r="39" spans="1:3" ht="12.75">
      <c r="A39" s="6"/>
      <c r="B39" s="10"/>
      <c r="C39" s="6"/>
    </row>
    <row r="40" spans="1:5" ht="15.75">
      <c r="A40" s="30" t="s">
        <v>22</v>
      </c>
      <c r="B40" s="9" t="s">
        <v>12</v>
      </c>
      <c r="C40" s="9" t="s">
        <v>13</v>
      </c>
      <c r="D40" s="9" t="s">
        <v>14</v>
      </c>
      <c r="E40" s="18"/>
    </row>
    <row r="41" spans="1:5" ht="12.75">
      <c r="A41" s="6" t="s">
        <v>19</v>
      </c>
      <c r="B41" s="10">
        <v>340</v>
      </c>
      <c r="C41" s="12">
        <f>SQRT(B36^2+B37^2+B38^2)</f>
        <v>0.024494897427831782</v>
      </c>
      <c r="D41" s="12">
        <f>C41/B41</f>
        <v>7.204381596421113E-05</v>
      </c>
      <c r="E41" s="68" t="s">
        <v>121</v>
      </c>
    </row>
    <row r="42" spans="1:5" ht="12.75">
      <c r="A42" s="6" t="s">
        <v>20</v>
      </c>
      <c r="B42" s="10">
        <v>56</v>
      </c>
      <c r="C42" s="12">
        <f>SQRT(B36^2+B37^2+B38^2)</f>
        <v>0.024494897427831782</v>
      </c>
      <c r="D42" s="12">
        <f>C42/B42</f>
        <v>0.00043740888263985327</v>
      </c>
      <c r="E42" s="68" t="s">
        <v>119</v>
      </c>
    </row>
    <row r="43" spans="1:5" ht="12.75">
      <c r="A43" s="6" t="s">
        <v>26</v>
      </c>
      <c r="B43" s="25">
        <f>B41-B42</f>
        <v>284</v>
      </c>
      <c r="C43" s="13">
        <f>SQRT(C41^2+C42^2)</f>
        <v>0.034641016151377546</v>
      </c>
      <c r="D43" s="46">
        <f>C43/B43</f>
        <v>0.00012197540898372376</v>
      </c>
      <c r="E43" s="67" t="s">
        <v>120</v>
      </c>
    </row>
    <row r="44" spans="1:4" ht="12.75">
      <c r="A44" s="6"/>
      <c r="B44" s="6"/>
      <c r="C44" s="6"/>
      <c r="D44" s="6"/>
    </row>
    <row r="45" spans="1:4" ht="15.75">
      <c r="A45" s="30" t="s">
        <v>7</v>
      </c>
      <c r="B45" s="6"/>
      <c r="C45" s="6"/>
      <c r="D45" s="6"/>
    </row>
    <row r="46" spans="1:5" ht="12.75">
      <c r="A46" s="6" t="s">
        <v>105</v>
      </c>
      <c r="B46" s="10">
        <v>180</v>
      </c>
      <c r="C46" s="34">
        <f>0.5/SQRT(3)</f>
        <v>0.2886751345948129</v>
      </c>
      <c r="D46" s="14">
        <f>C46/B46*100</f>
        <v>0.16037507477489607</v>
      </c>
      <c r="E46" t="s">
        <v>123</v>
      </c>
    </row>
    <row r="47" spans="1:5" ht="12.75">
      <c r="A47" s="6" t="s">
        <v>8</v>
      </c>
      <c r="B47" s="10">
        <v>27</v>
      </c>
      <c r="C47" s="24"/>
      <c r="D47" s="24"/>
      <c r="E47" t="s">
        <v>122</v>
      </c>
    </row>
    <row r="48" spans="1:5" ht="12.75">
      <c r="A48" s="6" t="s">
        <v>28</v>
      </c>
      <c r="B48" s="10">
        <f>B9</f>
        <v>1031</v>
      </c>
      <c r="C48" s="15">
        <f>B48*D48</f>
        <v>5.952481275345042</v>
      </c>
      <c r="D48" s="36">
        <f>1/100/SQRT(3)</f>
        <v>0.005773502691896258</v>
      </c>
      <c r="E48" t="s">
        <v>47</v>
      </c>
    </row>
    <row r="49" spans="1:9" ht="12.75">
      <c r="A49" s="6" t="s">
        <v>30</v>
      </c>
      <c r="B49" s="24"/>
      <c r="C49" s="24"/>
      <c r="D49" s="10">
        <f>5/100</f>
        <v>0.05</v>
      </c>
      <c r="E49" s="66" t="s">
        <v>126</v>
      </c>
      <c r="F49" s="65"/>
      <c r="G49" s="65"/>
      <c r="H49" s="65"/>
      <c r="I49" s="63"/>
    </row>
    <row r="50" spans="1:5" ht="12.75">
      <c r="A50" s="6" t="s">
        <v>56</v>
      </c>
      <c r="B50" s="24"/>
      <c r="C50" s="24"/>
      <c r="D50" s="10">
        <f>0.2/100</f>
        <v>0.002</v>
      </c>
      <c r="E50" s="67" t="s">
        <v>124</v>
      </c>
    </row>
    <row r="51" spans="1:5" ht="12.75">
      <c r="A51" s="6"/>
      <c r="B51" s="6"/>
      <c r="C51" s="6"/>
      <c r="D51" s="6"/>
      <c r="E51" s="67" t="s">
        <v>125</v>
      </c>
    </row>
    <row r="52" spans="1:5" ht="12.75">
      <c r="A52" s="6" t="s">
        <v>9</v>
      </c>
      <c r="B52" s="26">
        <f>B46*273/(273+B47)*B9/1013</f>
        <v>166.7105626850938</v>
      </c>
      <c r="C52" s="15">
        <f>B52*D52</f>
        <v>4.824055631847573</v>
      </c>
      <c r="D52" s="47">
        <f>SQRT((D49/SQRT(3))^2+D50^2)</f>
        <v>0.028936712552280943</v>
      </c>
      <c r="E52" t="s">
        <v>127</v>
      </c>
    </row>
    <row r="53" spans="1:5" ht="12.75">
      <c r="A53" s="6"/>
      <c r="E53" t="s">
        <v>128</v>
      </c>
    </row>
    <row r="54" spans="1:5" ht="12.75">
      <c r="A54" s="6"/>
      <c r="E54" t="s">
        <v>129</v>
      </c>
    </row>
    <row r="55" spans="1:4" ht="15.75">
      <c r="A55" s="31" t="s">
        <v>38</v>
      </c>
      <c r="B55" s="22" t="s">
        <v>12</v>
      </c>
      <c r="C55" s="9" t="s">
        <v>13</v>
      </c>
      <c r="D55" s="9" t="s">
        <v>14</v>
      </c>
    </row>
    <row r="56" spans="1:4" ht="12.75">
      <c r="A56" s="23" t="s">
        <v>75</v>
      </c>
      <c r="B56" s="35">
        <v>4</v>
      </c>
      <c r="C56" s="15">
        <f>B56*D56</f>
        <v>0.11872657663724664</v>
      </c>
      <c r="D56" s="13">
        <f>SQRT(D58^2+D59^2)</f>
        <v>0.02968164415931166</v>
      </c>
    </row>
    <row r="57" spans="1:4" ht="12.75">
      <c r="A57" s="23" t="s">
        <v>76</v>
      </c>
      <c r="B57" s="35">
        <f>B56*36.5/35.5</f>
        <v>4.112676056338028</v>
      </c>
      <c r="C57" s="15">
        <f>B57*D57</f>
        <v>0.12207098724674655</v>
      </c>
      <c r="D57" s="47">
        <f>D56</f>
        <v>0.02968164415931166</v>
      </c>
    </row>
    <row r="58" spans="1:6" ht="12.75">
      <c r="A58" s="24" t="s">
        <v>23</v>
      </c>
      <c r="B58" s="8"/>
      <c r="C58" s="6"/>
      <c r="D58" s="10">
        <f>2.5/100</f>
        <v>0.025</v>
      </c>
      <c r="F58" t="s">
        <v>66</v>
      </c>
    </row>
    <row r="59" spans="1:6" ht="12.75">
      <c r="A59" s="24" t="s">
        <v>85</v>
      </c>
      <c r="B59" s="8"/>
      <c r="C59" s="6"/>
      <c r="D59" s="10">
        <f>1.6/100</f>
        <v>0.016</v>
      </c>
      <c r="F59" t="s">
        <v>66</v>
      </c>
    </row>
    <row r="60" ht="12.75">
      <c r="A60" s="60"/>
    </row>
    <row r="61" spans="1:5" ht="18.75">
      <c r="A61" s="59" t="s">
        <v>102</v>
      </c>
      <c r="B61" s="57">
        <f>B56/1000*B43/(B52/1000)</f>
        <v>6.814205301111218</v>
      </c>
      <c r="C61" s="57">
        <f>B61*D61</f>
        <v>0.5515585279706463</v>
      </c>
      <c r="D61" s="58">
        <f>SQRT($D$19^2+$D$28^2+$D$32^2+$D$43^2+$D$52^2+$D$57^2)</f>
        <v>0.08094245823217296</v>
      </c>
      <c r="E61" t="s">
        <v>130</v>
      </c>
    </row>
    <row r="62" spans="2:5" ht="15.75">
      <c r="B62" s="57">
        <f>B56/1000*B43/(B52/1000)</f>
        <v>6.814205301111218</v>
      </c>
      <c r="C62" s="57">
        <f>B62*D62</f>
        <v>0.8766702622047065</v>
      </c>
      <c r="D62" s="58">
        <f>SQRT($D$20^2+$D$28^2+$D$32^2+$D$43^2+$D$52^2+$D$57^2)</f>
        <v>0.12865333864562967</v>
      </c>
      <c r="E62" t="s">
        <v>131</v>
      </c>
    </row>
    <row r="65" ht="18.75">
      <c r="A65" s="48" t="s">
        <v>80</v>
      </c>
    </row>
    <row r="66" spans="1:3" ht="12.75">
      <c r="A66" s="2" t="s">
        <v>78</v>
      </c>
      <c r="B66" s="16">
        <f>SQRT(D19^2+D28^2+D32^2+D43^2+D52^2+D57^2)*100</f>
        <v>8.094245823217296</v>
      </c>
      <c r="C66" s="4" t="s">
        <v>11</v>
      </c>
    </row>
    <row r="67" spans="1:3" ht="12.75">
      <c r="A67" s="2" t="s">
        <v>77</v>
      </c>
      <c r="B67" s="3">
        <f>B66*2</f>
        <v>16.188491646434592</v>
      </c>
      <c r="C67" s="4" t="s">
        <v>11</v>
      </c>
    </row>
    <row r="70" ht="18.75">
      <c r="A70" s="48" t="s">
        <v>81</v>
      </c>
    </row>
    <row r="71" spans="1:3" ht="12.75">
      <c r="A71" s="2" t="s">
        <v>78</v>
      </c>
      <c r="B71" s="16">
        <f>SQRT($D$20^2+$D$28^2+$D$32^2+$D$43^2+$D$52^2+$D$57^2)*100</f>
        <v>12.865333864562967</v>
      </c>
      <c r="C71" s="4" t="s">
        <v>11</v>
      </c>
    </row>
    <row r="72" spans="1:3" ht="12.75">
      <c r="A72" s="2" t="s">
        <v>77</v>
      </c>
      <c r="B72" s="3">
        <f>B71*2</f>
        <v>25.730667729125933</v>
      </c>
      <c r="C72" s="4" t="s">
        <v>11</v>
      </c>
    </row>
    <row r="75" ht="12.75">
      <c r="A75" t="s">
        <v>29</v>
      </c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59">
      <selection activeCell="A77" sqref="A77"/>
    </sheetView>
  </sheetViews>
  <sheetFormatPr defaultColWidth="9.140625" defaultRowHeight="12.75"/>
  <cols>
    <col min="1" max="1" width="74.7109375" style="0" customWidth="1"/>
    <col min="2" max="2" width="18.140625" style="0" bestFit="1" customWidth="1"/>
    <col min="3" max="3" width="15.00390625" style="0" customWidth="1"/>
    <col min="4" max="4" width="12.421875" style="0" bestFit="1" customWidth="1"/>
    <col min="5" max="5" width="25.57421875" style="0" bestFit="1" customWidth="1"/>
  </cols>
  <sheetData>
    <row r="1" ht="18">
      <c r="A1" s="27" t="s">
        <v>100</v>
      </c>
    </row>
    <row r="2" ht="12.75">
      <c r="A2" s="1" t="s">
        <v>31</v>
      </c>
    </row>
    <row r="3" ht="12.75">
      <c r="C3" s="10"/>
    </row>
    <row r="4" spans="1:3" ht="12.75">
      <c r="A4" s="5" t="s">
        <v>6</v>
      </c>
      <c r="C4" t="s">
        <v>15</v>
      </c>
    </row>
    <row r="6" spans="1:3" ht="12.75">
      <c r="A6" s="17" t="s">
        <v>2</v>
      </c>
      <c r="B6" s="29" t="s">
        <v>3</v>
      </c>
      <c r="C6" s="6"/>
    </row>
    <row r="7" spans="1:3" ht="12.75">
      <c r="A7" s="10" t="s">
        <v>21</v>
      </c>
      <c r="B7" s="11"/>
      <c r="C7" s="6"/>
    </row>
    <row r="8" spans="1:3" ht="12.75">
      <c r="A8" s="6"/>
      <c r="B8" s="7"/>
      <c r="C8" s="6"/>
    </row>
    <row r="9" spans="1:3" ht="12.75">
      <c r="A9" s="6" t="s">
        <v>10</v>
      </c>
      <c r="B9" s="10">
        <v>1031</v>
      </c>
      <c r="C9" s="6"/>
    </row>
    <row r="10" spans="1:3" ht="12.75">
      <c r="A10" s="6" t="s">
        <v>4</v>
      </c>
      <c r="B10" s="10" t="s">
        <v>16</v>
      </c>
      <c r="C10" s="10" t="s">
        <v>5</v>
      </c>
    </row>
    <row r="11" spans="1:3" ht="12.75">
      <c r="A11" s="6"/>
      <c r="B11" s="6"/>
      <c r="C11" s="6"/>
    </row>
    <row r="12" spans="1:3" ht="15.75">
      <c r="A12" s="30" t="s">
        <v>27</v>
      </c>
      <c r="B12" s="6"/>
      <c r="C12" s="6"/>
    </row>
    <row r="13" spans="1:3" ht="12.75">
      <c r="A13" s="17"/>
      <c r="B13" s="6"/>
      <c r="C13" s="6"/>
    </row>
    <row r="14" spans="2:3" ht="12.75">
      <c r="B14" s="6"/>
      <c r="C14" s="29" t="s">
        <v>37</v>
      </c>
    </row>
    <row r="15" spans="1:4" ht="12.75">
      <c r="A15" s="28" t="s">
        <v>35</v>
      </c>
      <c r="B15" s="6"/>
      <c r="C15" s="32">
        <f>SQRT(C16^2+C17^2)</f>
        <v>3.1622776601683795</v>
      </c>
      <c r="D15" s="33" t="s">
        <v>33</v>
      </c>
    </row>
    <row r="16" spans="1:3" ht="12.75">
      <c r="A16" s="6" t="s">
        <v>34</v>
      </c>
      <c r="B16" s="6"/>
      <c r="C16" s="6">
        <v>3</v>
      </c>
    </row>
    <row r="17" spans="1:3" ht="12.75">
      <c r="A17" s="6" t="s">
        <v>36</v>
      </c>
      <c r="B17" s="6"/>
      <c r="C17" s="6">
        <v>1</v>
      </c>
    </row>
    <row r="18" spans="1:3" ht="12.75">
      <c r="A18" s="6"/>
      <c r="B18" s="6"/>
      <c r="C18" s="6"/>
    </row>
    <row r="19" spans="1:4" ht="12.75">
      <c r="A19" s="28" t="s">
        <v>39</v>
      </c>
      <c r="B19" s="6"/>
      <c r="C19" s="29" t="s">
        <v>46</v>
      </c>
      <c r="D19" s="45" t="s">
        <v>14</v>
      </c>
    </row>
    <row r="20" spans="1:4" ht="12.75">
      <c r="A20" s="6" t="s">
        <v>79</v>
      </c>
      <c r="B20" s="6" t="s">
        <v>44</v>
      </c>
      <c r="C20" s="10">
        <v>10</v>
      </c>
      <c r="D20" s="44">
        <f>C20/SQRT(3)/100</f>
        <v>0.05773502691896258</v>
      </c>
    </row>
    <row r="21" spans="2:4" ht="12.75">
      <c r="B21" s="6" t="s">
        <v>45</v>
      </c>
      <c r="C21" s="10">
        <v>20</v>
      </c>
      <c r="D21" s="44">
        <f>C21/SQRT(3)/100</f>
        <v>0.11547005383792516</v>
      </c>
    </row>
    <row r="22" spans="1:10" ht="12.75">
      <c r="A22" s="28" t="s">
        <v>40</v>
      </c>
      <c r="B22" s="6"/>
      <c r="C22" s="6"/>
      <c r="F22" t="s">
        <v>51</v>
      </c>
      <c r="J22" s="38"/>
    </row>
    <row r="23" spans="1:4" ht="12.75">
      <c r="A23" s="6" t="s">
        <v>72</v>
      </c>
      <c r="B23" s="6"/>
      <c r="C23" s="40">
        <v>3</v>
      </c>
      <c r="D23" t="s">
        <v>73</v>
      </c>
    </row>
    <row r="24" spans="1:6" ht="12.75">
      <c r="A24" s="6" t="s">
        <v>67</v>
      </c>
      <c r="B24" s="6"/>
      <c r="C24" s="40">
        <v>95</v>
      </c>
      <c r="D24" t="s">
        <v>68</v>
      </c>
      <c r="F24" t="s">
        <v>52</v>
      </c>
    </row>
    <row r="25" spans="1:4" ht="12.75">
      <c r="A25" s="6" t="s">
        <v>69</v>
      </c>
      <c r="B25" s="6"/>
      <c r="C25" s="41">
        <f>100-C24</f>
        <v>5</v>
      </c>
      <c r="D25" t="s">
        <v>70</v>
      </c>
    </row>
    <row r="26" spans="1:4" ht="12.75">
      <c r="A26" s="6" t="s">
        <v>41</v>
      </c>
      <c r="B26" s="6"/>
      <c r="C26" s="40">
        <v>2</v>
      </c>
      <c r="D26" t="s">
        <v>42</v>
      </c>
    </row>
    <row r="27" spans="1:3" ht="12.75">
      <c r="A27" s="6" t="s">
        <v>74</v>
      </c>
      <c r="B27" s="6"/>
      <c r="C27" s="40">
        <v>1</v>
      </c>
    </row>
    <row r="28" spans="1:6" ht="12.75">
      <c r="A28" s="6" t="s">
        <v>43</v>
      </c>
      <c r="B28" s="6"/>
      <c r="C28" s="10">
        <v>2</v>
      </c>
      <c r="D28" s="45" t="s">
        <v>14</v>
      </c>
      <c r="F28" t="s">
        <v>53</v>
      </c>
    </row>
    <row r="29" spans="1:4" ht="12.75">
      <c r="A29" s="42" t="s">
        <v>71</v>
      </c>
      <c r="B29" s="43"/>
      <c r="C29" s="15">
        <f>SQRT((C23/SQRT(3))^2+(C25/SQRT(3))^2+C26^2+(C28/SQRT(3))^2+C27^2)</f>
        <v>4.203173404306164</v>
      </c>
      <c r="D29" s="44">
        <f>C29/100</f>
        <v>0.04203173404306164</v>
      </c>
    </row>
    <row r="30" spans="1:6" ht="12.75">
      <c r="A30" s="6"/>
      <c r="B30" s="6"/>
      <c r="C30" s="6"/>
      <c r="F30" t="s">
        <v>54</v>
      </c>
    </row>
    <row r="31" spans="1:6" ht="12.75">
      <c r="A31" s="28" t="s">
        <v>84</v>
      </c>
      <c r="B31" s="6"/>
      <c r="C31" s="6"/>
      <c r="F31" t="s">
        <v>55</v>
      </c>
    </row>
    <row r="32" spans="1:3" ht="12.75">
      <c r="A32" s="6" t="s">
        <v>82</v>
      </c>
      <c r="B32" s="6"/>
      <c r="C32" s="10">
        <v>2</v>
      </c>
    </row>
    <row r="33" spans="1:4" ht="12.75">
      <c r="A33" s="6" t="s">
        <v>83</v>
      </c>
      <c r="B33" s="6"/>
      <c r="C33" s="10">
        <v>3</v>
      </c>
      <c r="D33" s="45" t="s">
        <v>14</v>
      </c>
    </row>
    <row r="34" spans="1:4" ht="12.75">
      <c r="A34" s="42" t="s">
        <v>71</v>
      </c>
      <c r="B34" s="6"/>
      <c r="C34" s="26">
        <f>SQRT(C32^2+C33^2)</f>
        <v>3.605551275463989</v>
      </c>
      <c r="D34" s="44">
        <f>C34/100</f>
        <v>0.03605551275463989</v>
      </c>
    </row>
    <row r="35" spans="1:3" ht="12.75">
      <c r="A35" s="6"/>
      <c r="B35" s="6"/>
      <c r="C35" s="6"/>
    </row>
    <row r="36" spans="1:4" ht="15.75">
      <c r="A36" s="30" t="s">
        <v>95</v>
      </c>
      <c r="B36" s="53" t="s">
        <v>12</v>
      </c>
      <c r="C36" s="53" t="s">
        <v>13</v>
      </c>
      <c r="D36" s="9" t="s">
        <v>14</v>
      </c>
    </row>
    <row r="37" spans="1:4" ht="12.75">
      <c r="A37" s="6" t="s">
        <v>97</v>
      </c>
      <c r="B37" s="54">
        <v>500</v>
      </c>
      <c r="C37" s="54">
        <f>0.5/SQRT(6)</f>
        <v>0.20412414523193154</v>
      </c>
      <c r="D37" s="55">
        <f>C37/B37</f>
        <v>0.0004082482904638631</v>
      </c>
    </row>
    <row r="38" spans="1:4" ht="12.75">
      <c r="A38" s="6" t="s">
        <v>96</v>
      </c>
      <c r="B38" s="54">
        <v>500</v>
      </c>
      <c r="C38" s="54">
        <v>0.1</v>
      </c>
      <c r="D38" s="55">
        <f>C38/B38</f>
        <v>0.0002</v>
      </c>
    </row>
    <row r="39" spans="1:4" ht="12.75">
      <c r="A39" s="6" t="s">
        <v>98</v>
      </c>
      <c r="B39" s="54">
        <v>500</v>
      </c>
      <c r="C39" s="54">
        <f>0.4/SQRT(3)</f>
        <v>0.23094010767585033</v>
      </c>
      <c r="D39" s="55">
        <f>C39/B39</f>
        <v>0.0004618802153517006</v>
      </c>
    </row>
    <row r="40" spans="1:4" ht="12.75">
      <c r="A40" s="17" t="s">
        <v>99</v>
      </c>
      <c r="B40" s="50">
        <v>500</v>
      </c>
      <c r="C40" s="8">
        <f>SQRT(C37^2+C38^2+C39^2)</f>
        <v>0.32403703492039304</v>
      </c>
      <c r="D40" s="56">
        <f>C40/B40</f>
        <v>0.000648074069840786</v>
      </c>
    </row>
    <row r="44" spans="1:5" ht="15.75">
      <c r="A44" s="30" t="s">
        <v>7</v>
      </c>
      <c r="B44" s="53" t="s">
        <v>12</v>
      </c>
      <c r="C44" s="53" t="s">
        <v>13</v>
      </c>
      <c r="D44" s="9" t="s">
        <v>14</v>
      </c>
      <c r="E44" t="s">
        <v>86</v>
      </c>
    </row>
    <row r="45" spans="1:5" ht="12.75">
      <c r="A45" s="6" t="s">
        <v>103</v>
      </c>
      <c r="B45" s="10">
        <v>180</v>
      </c>
      <c r="C45" s="34">
        <f>B45*D45</f>
        <v>2.078460969082653</v>
      </c>
      <c r="D45" s="14">
        <f>E45/SQRT(3)</f>
        <v>0.011547005383792516</v>
      </c>
      <c r="E45" s="49">
        <v>0.02</v>
      </c>
    </row>
    <row r="46" spans="1:4" ht="12.75">
      <c r="A46" s="6" t="s">
        <v>104</v>
      </c>
      <c r="B46" s="24"/>
      <c r="C46" s="24"/>
      <c r="D46" s="25">
        <f>0.2/100</f>
        <v>0.002</v>
      </c>
    </row>
    <row r="47" spans="1:5" ht="12" customHeight="1">
      <c r="A47" s="6" t="s">
        <v>110</v>
      </c>
      <c r="B47" s="10">
        <v>180</v>
      </c>
      <c r="C47" s="35">
        <v>0.3</v>
      </c>
      <c r="D47" s="13">
        <f>C47/B47</f>
        <v>0.0016666666666666666</v>
      </c>
      <c r="E47" s="49"/>
    </row>
    <row r="48" spans="1:6" ht="12.75">
      <c r="A48" s="6" t="s">
        <v>8</v>
      </c>
      <c r="B48" s="10">
        <v>22</v>
      </c>
      <c r="C48" s="35">
        <f>E48/SQRT(3)</f>
        <v>1.4433756729740645</v>
      </c>
      <c r="D48" s="52">
        <f>C48/B48</f>
        <v>0.06560798513518475</v>
      </c>
      <c r="E48">
        <v>2.5</v>
      </c>
      <c r="F48" t="s">
        <v>87</v>
      </c>
    </row>
    <row r="49" spans="1:4" ht="12.75">
      <c r="A49" s="6" t="s">
        <v>94</v>
      </c>
      <c r="B49" s="10">
        <f>273+B48</f>
        <v>295</v>
      </c>
      <c r="C49" s="26">
        <f>C48</f>
        <v>1.4433756729740645</v>
      </c>
      <c r="D49" s="13">
        <f>C49/B49</f>
        <v>0.0048927988914375066</v>
      </c>
    </row>
    <row r="50" spans="1:7" ht="12.75">
      <c r="A50" s="6" t="s">
        <v>28</v>
      </c>
      <c r="B50" s="10">
        <f>B9</f>
        <v>1031</v>
      </c>
      <c r="C50" s="15">
        <f>E50</f>
        <v>10</v>
      </c>
      <c r="D50" s="34">
        <f>C50/B50</f>
        <v>0.009699321047526674</v>
      </c>
      <c r="E50">
        <v>10</v>
      </c>
      <c r="F50" t="s">
        <v>88</v>
      </c>
      <c r="G50" t="s">
        <v>89</v>
      </c>
    </row>
    <row r="52" spans="1:4" ht="12.75">
      <c r="A52" s="6"/>
      <c r="B52" s="6"/>
      <c r="C52" s="6"/>
      <c r="D52" s="6"/>
    </row>
    <row r="53" spans="1:4" ht="12.75">
      <c r="A53" s="6" t="s">
        <v>9</v>
      </c>
      <c r="B53" s="26">
        <f>B45*273/(273+B48)*B9/1013</f>
        <v>169.53616544246825</v>
      </c>
      <c r="C53" s="15">
        <f>B53*D53</f>
        <v>2.7238264143754733</v>
      </c>
      <c r="D53" s="47">
        <f>SQRT(D45^2+D46^2+D47^2+D49^2+D50^2)</f>
        <v>0.0160663443535285</v>
      </c>
    </row>
    <row r="54" spans="1:2" ht="12.75">
      <c r="A54" s="20"/>
      <c r="B54" s="21"/>
    </row>
    <row r="55" spans="1:4" ht="15.75">
      <c r="A55" s="31" t="s">
        <v>38</v>
      </c>
      <c r="B55" s="22" t="s">
        <v>12</v>
      </c>
      <c r="C55" s="9" t="s">
        <v>13</v>
      </c>
      <c r="D55" s="9" t="s">
        <v>14</v>
      </c>
    </row>
    <row r="56" spans="1:5" ht="12.75">
      <c r="A56" s="23" t="s">
        <v>111</v>
      </c>
      <c r="B56" s="35">
        <v>2.5</v>
      </c>
      <c r="C56" s="15">
        <f>5/100*B56</f>
        <v>0.125</v>
      </c>
      <c r="D56" s="13">
        <f>C56/B56</f>
        <v>0.05</v>
      </c>
      <c r="E56" t="s">
        <v>108</v>
      </c>
    </row>
    <row r="57" spans="1:5" ht="12.75">
      <c r="A57" s="23" t="s">
        <v>109</v>
      </c>
      <c r="B57" s="35">
        <f>B56*36.5/35.5</f>
        <v>2.5704225352112675</v>
      </c>
      <c r="C57" s="15">
        <f>B57*D57</f>
        <v>0.12852112676056338</v>
      </c>
      <c r="D57" s="47">
        <f>D56</f>
        <v>0.05</v>
      </c>
      <c r="E57" t="s">
        <v>112</v>
      </c>
    </row>
    <row r="59" spans="1:5" ht="18.75">
      <c r="A59" s="59" t="s">
        <v>102</v>
      </c>
      <c r="B59" s="57">
        <f>B56/1000*B40/(B53/1000)</f>
        <v>7.373058112631343</v>
      </c>
      <c r="C59" s="57">
        <f>B59*D59</f>
        <v>0.7056038733269226</v>
      </c>
      <c r="D59" s="58">
        <f>SQRT($D$20^2+$D$29^2+$D$34^2+$D$40^2+$D$53^2+$D$57^2)</f>
        <v>0.09570030000415965</v>
      </c>
      <c r="E59" t="s">
        <v>106</v>
      </c>
    </row>
    <row r="60" spans="2:5" ht="15.75">
      <c r="B60" s="57">
        <f>B56/1000*B40/(B53/1000)</f>
        <v>7.373058112631343</v>
      </c>
      <c r="C60" s="57">
        <f>B60*D60</f>
        <v>1.0205374492767743</v>
      </c>
      <c r="D60" s="58">
        <f>SQRT($D$21^2+$D$29^2+$D$34^2+$D$40^2+$D$53^2+$D$57^2)</f>
        <v>0.1384144046726574</v>
      </c>
      <c r="E60" t="s">
        <v>107</v>
      </c>
    </row>
    <row r="62" ht="18.75">
      <c r="A62" s="48" t="s">
        <v>80</v>
      </c>
    </row>
    <row r="63" spans="1:9" ht="12.75">
      <c r="A63" s="2" t="s">
        <v>101</v>
      </c>
      <c r="B63" s="16">
        <f>SQRT($D$20^2+$D$29^2+$D$34^2+$D$40^2+$D$53^2+$D$57^2)*100</f>
        <v>9.570030000415965</v>
      </c>
      <c r="C63" s="4" t="s">
        <v>11</v>
      </c>
      <c r="I63" s="37"/>
    </row>
    <row r="64" spans="1:9" ht="12.75">
      <c r="A64" s="2" t="s">
        <v>77</v>
      </c>
      <c r="B64" s="3">
        <f>B63*2</f>
        <v>19.14006000083193</v>
      </c>
      <c r="C64" s="4" t="s">
        <v>11</v>
      </c>
      <c r="I64" s="37"/>
    </row>
    <row r="67" ht="18.75">
      <c r="A67" s="48" t="s">
        <v>81</v>
      </c>
    </row>
    <row r="68" spans="1:3" ht="12.75">
      <c r="A68" s="2" t="s">
        <v>78</v>
      </c>
      <c r="B68" s="16">
        <f>SQRT($D$21^2+$D$29^2+$D$34^2+$D$40^2+$D$53^2+$D$57^2)*100</f>
        <v>13.84144046726574</v>
      </c>
      <c r="C68" s="4" t="s">
        <v>11</v>
      </c>
    </row>
    <row r="69" spans="1:3" ht="12.75">
      <c r="A69" s="2" t="s">
        <v>77</v>
      </c>
      <c r="B69" s="3">
        <f>B68*2</f>
        <v>27.68288093453148</v>
      </c>
      <c r="C69" s="4" t="s">
        <v>11</v>
      </c>
    </row>
    <row r="72" ht="12.75">
      <c r="A72" t="s">
        <v>29</v>
      </c>
    </row>
    <row r="76" ht="15.75">
      <c r="A76" s="48"/>
    </row>
    <row r="77" ht="15.75">
      <c r="A77" s="48"/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D1">
      <selection activeCell="I20" sqref="I20"/>
    </sheetView>
  </sheetViews>
  <sheetFormatPr defaultColWidth="9.140625" defaultRowHeight="12.75"/>
  <cols>
    <col min="4" max="4" width="12.421875" style="0" bestFit="1" customWidth="1"/>
  </cols>
  <sheetData>
    <row r="1" spans="1:11" ht="12.75">
      <c r="A1" t="s">
        <v>48</v>
      </c>
      <c r="K1" t="s">
        <v>90</v>
      </c>
    </row>
    <row r="3" spans="1:11" ht="12.75">
      <c r="A3" t="s">
        <v>49</v>
      </c>
      <c r="K3" t="s">
        <v>93</v>
      </c>
    </row>
    <row r="4" spans="1:11" ht="12.75">
      <c r="A4">
        <v>1</v>
      </c>
      <c r="B4">
        <v>154.66</v>
      </c>
      <c r="E4" t="s">
        <v>59</v>
      </c>
      <c r="K4">
        <v>101.4</v>
      </c>
    </row>
    <row r="5" spans="1:11" ht="12.75">
      <c r="A5">
        <v>2</v>
      </c>
      <c r="B5">
        <v>154.67</v>
      </c>
      <c r="E5" t="s">
        <v>11</v>
      </c>
      <c r="F5" t="s">
        <v>11</v>
      </c>
      <c r="K5">
        <v>101</v>
      </c>
    </row>
    <row r="6" spans="1:11" ht="12.75">
      <c r="A6">
        <v>3</v>
      </c>
      <c r="B6">
        <v>154.66</v>
      </c>
      <c r="D6" t="s">
        <v>61</v>
      </c>
      <c r="E6" t="s">
        <v>58</v>
      </c>
      <c r="F6" t="s">
        <v>60</v>
      </c>
      <c r="K6">
        <v>100.9</v>
      </c>
    </row>
    <row r="7" spans="1:11" ht="12.75">
      <c r="A7">
        <v>4</v>
      </c>
      <c r="B7">
        <v>154.66</v>
      </c>
      <c r="D7">
        <v>0.5</v>
      </c>
      <c r="E7">
        <v>1.1</v>
      </c>
      <c r="F7">
        <v>5</v>
      </c>
      <c r="J7" t="s">
        <v>62</v>
      </c>
      <c r="K7" s="39">
        <f>AVERAGE(K4:K6)</f>
        <v>101.10000000000001</v>
      </c>
    </row>
    <row r="8" spans="1:11" ht="12.75">
      <c r="A8">
        <v>5</v>
      </c>
      <c r="B8">
        <v>154.65</v>
      </c>
      <c r="D8">
        <v>0.7</v>
      </c>
      <c r="E8">
        <v>1.8</v>
      </c>
      <c r="F8">
        <v>1.5</v>
      </c>
      <c r="J8" t="s">
        <v>91</v>
      </c>
      <c r="K8" s="51">
        <f>STDEV(K4:K6)</f>
        <v>0.26457513110646014</v>
      </c>
    </row>
    <row r="9" spans="1:6" ht="12.75">
      <c r="A9">
        <v>6</v>
      </c>
      <c r="B9">
        <v>154.67</v>
      </c>
      <c r="D9" s="1" t="s">
        <v>62</v>
      </c>
      <c r="E9" s="1">
        <f>AVERAGE(E7:E8)</f>
        <v>1.4500000000000002</v>
      </c>
      <c r="F9" s="1">
        <f>AVERAGE(F7:F8)</f>
        <v>3.25</v>
      </c>
    </row>
    <row r="10" spans="1:11" ht="12.75">
      <c r="A10">
        <v>7</v>
      </c>
      <c r="B10">
        <v>154.68</v>
      </c>
      <c r="J10" t="s">
        <v>92</v>
      </c>
      <c r="K10" s="51">
        <f>K8/K7*100</f>
        <v>0.26169646993715145</v>
      </c>
    </row>
    <row r="11" spans="1:6" ht="12.75">
      <c r="A11">
        <v>8</v>
      </c>
      <c r="B11">
        <v>154.66</v>
      </c>
      <c r="D11">
        <v>2.6</v>
      </c>
      <c r="E11">
        <v>1</v>
      </c>
      <c r="F11">
        <v>2.8</v>
      </c>
    </row>
    <row r="12" spans="1:11" ht="12.75">
      <c r="A12">
        <v>9</v>
      </c>
      <c r="B12">
        <v>154.67</v>
      </c>
      <c r="D12">
        <v>3.3</v>
      </c>
      <c r="E12">
        <v>2.5</v>
      </c>
      <c r="F12">
        <v>0.58</v>
      </c>
      <c r="K12">
        <v>102.7</v>
      </c>
    </row>
    <row r="13" spans="1:11" ht="12.75">
      <c r="A13">
        <v>10</v>
      </c>
      <c r="B13">
        <v>154.67</v>
      </c>
      <c r="D13" s="1" t="s">
        <v>62</v>
      </c>
      <c r="E13" s="1">
        <f>AVERAGE(E11:E12)</f>
        <v>1.75</v>
      </c>
      <c r="F13" s="1">
        <f>AVERAGE(F11:F12)</f>
        <v>1.69</v>
      </c>
      <c r="K13">
        <v>102.2</v>
      </c>
    </row>
    <row r="14" spans="2:11" ht="12.75">
      <c r="B14">
        <f>AVERAGE(B4:B13)</f>
        <v>154.66500000000002</v>
      </c>
      <c r="K14">
        <v>102</v>
      </c>
    </row>
    <row r="15" spans="2:11" ht="12.75">
      <c r="B15" s="37">
        <f>STDEV(B4:B13)</f>
        <v>0.00849836585598582</v>
      </c>
      <c r="C15" t="s">
        <v>50</v>
      </c>
      <c r="J15" t="s">
        <v>62</v>
      </c>
      <c r="K15" s="39">
        <f>AVERAGE(K12:K14)</f>
        <v>102.3</v>
      </c>
    </row>
    <row r="16" spans="2:11" ht="12.75">
      <c r="B16">
        <f>B15/B14*100</f>
        <v>0.0054946923065889615</v>
      </c>
      <c r="D16">
        <v>7.2</v>
      </c>
      <c r="E16">
        <v>1.8</v>
      </c>
      <c r="F16">
        <v>3.7</v>
      </c>
      <c r="J16" t="s">
        <v>91</v>
      </c>
      <c r="K16" s="51">
        <f>STDEV(K12:K14)</f>
        <v>0.3605551275464001</v>
      </c>
    </row>
    <row r="17" spans="4:11" ht="12.75">
      <c r="D17">
        <v>9.3</v>
      </c>
      <c r="E17">
        <v>1.5</v>
      </c>
      <c r="F17">
        <v>1.7</v>
      </c>
      <c r="J17" t="s">
        <v>92</v>
      </c>
      <c r="K17" s="51">
        <f>K16/K15*100</f>
        <v>0.3524488050306942</v>
      </c>
    </row>
    <row r="18" spans="4:6" ht="12.75">
      <c r="D18" s="1" t="s">
        <v>62</v>
      </c>
      <c r="E18" s="1">
        <f>AVERAGE(E16:E17)</f>
        <v>1.65</v>
      </c>
      <c r="F18" s="1">
        <f>AVERAGE(F16:F17)</f>
        <v>2.7</v>
      </c>
    </row>
    <row r="20" spans="5:11" ht="12.75">
      <c r="E20" t="s">
        <v>64</v>
      </c>
      <c r="F20" t="s">
        <v>65</v>
      </c>
      <c r="K20">
        <v>92.2</v>
      </c>
    </row>
    <row r="21" spans="4:13" ht="12.75">
      <c r="D21" s="1" t="s">
        <v>63</v>
      </c>
      <c r="E21" s="39">
        <f>AVERAGE(E7:E8,E11:E12,E16:E17)</f>
        <v>1.616666666666667</v>
      </c>
      <c r="F21" s="39">
        <f>AVERAGE(F7:F8,F11:F12,F16:F17)</f>
        <v>2.546666666666667</v>
      </c>
      <c r="K21">
        <v>91.7</v>
      </c>
      <c r="M21">
        <f>50/100</f>
        <v>0.5</v>
      </c>
    </row>
    <row r="22" spans="1:13" ht="12.75">
      <c r="A22">
        <f>(100-98)/100</f>
        <v>0.02</v>
      </c>
      <c r="K22">
        <v>91.9</v>
      </c>
      <c r="M22">
        <f>50/98</f>
        <v>0.5102040816326531</v>
      </c>
    </row>
    <row r="23" spans="10:11" ht="12.75">
      <c r="J23" t="s">
        <v>62</v>
      </c>
      <c r="K23" s="39">
        <f>AVERAGE(K20:K22)</f>
        <v>91.93333333333334</v>
      </c>
    </row>
    <row r="24" spans="1:13" ht="12.75">
      <c r="A24">
        <f>A22^2</f>
        <v>0.0004</v>
      </c>
      <c r="J24" t="s">
        <v>91</v>
      </c>
      <c r="K24" s="51">
        <f>STDEV(K20:K22)</f>
        <v>0.25166114784235816</v>
      </c>
      <c r="M24">
        <f>(M22-M21)/M22*100</f>
        <v>2.000000000000002</v>
      </c>
    </row>
    <row r="25" spans="10:11" ht="12.75">
      <c r="J25" t="s">
        <v>92</v>
      </c>
      <c r="K25" s="51">
        <f>K24/K23*100</f>
        <v>0.2737430904739211</v>
      </c>
    </row>
    <row r="26" ht="12.75">
      <c r="A26">
        <f>A24*((3.7*10^(-2))^2+(3.7*10^(-2))^2+1.8^2+(1.7*10^(-2))^2+(1.6*10^(-3))^2+(1.3*10^(-5))^2+(9.2*10^(-4))^2)</f>
        <v>0.0012972121626276</v>
      </c>
    </row>
    <row r="28" ht="12.75">
      <c r="K28">
        <v>102.4</v>
      </c>
    </row>
    <row r="29" ht="12.75">
      <c r="K29">
        <v>102.2</v>
      </c>
    </row>
    <row r="30" ht="12.75">
      <c r="K30">
        <v>101.9</v>
      </c>
    </row>
    <row r="31" spans="1:11" ht="12.75">
      <c r="A31" t="s">
        <v>57</v>
      </c>
      <c r="J31" t="s">
        <v>62</v>
      </c>
      <c r="K31" s="39">
        <f>AVERAGE(K28:K30)</f>
        <v>102.16666666666667</v>
      </c>
    </row>
    <row r="32" spans="10:11" ht="12.75">
      <c r="J32" t="s">
        <v>91</v>
      </c>
      <c r="K32" s="51">
        <f>STDEV(K28:K30)</f>
        <v>0.25166114784235816</v>
      </c>
    </row>
    <row r="33" spans="10:11" ht="12.75">
      <c r="J33" t="s">
        <v>92</v>
      </c>
      <c r="K33" s="51">
        <f>K32/K31*100</f>
        <v>0.24632412513118251</v>
      </c>
    </row>
    <row r="36" ht="12.75">
      <c r="K36">
        <v>100.7</v>
      </c>
    </row>
    <row r="37" ht="12.75">
      <c r="K37">
        <v>100.6</v>
      </c>
    </row>
    <row r="38" ht="12.75">
      <c r="K38">
        <v>100.4</v>
      </c>
    </row>
    <row r="39" spans="10:11" ht="12.75">
      <c r="J39" t="s">
        <v>62</v>
      </c>
      <c r="K39" s="39">
        <f>AVERAGE(K36:K38)</f>
        <v>100.56666666666668</v>
      </c>
    </row>
    <row r="40" spans="10:11" ht="12.75">
      <c r="J40" t="s">
        <v>91</v>
      </c>
      <c r="K40" s="51">
        <f>STDEV(K36:K38)</f>
        <v>0.1527525231651922</v>
      </c>
    </row>
    <row r="41" spans="10:11" ht="12.75">
      <c r="J41" t="s">
        <v>92</v>
      </c>
      <c r="K41" s="51">
        <f>K40/K39*100</f>
        <v>0.1518918029484841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Rekenvoorbeelden meetonzekerheid - voorbeeld 2</dc:title>
  <dc:subject/>
  <dc:creator>swaansw</dc:creator>
  <cp:keywords/>
  <dc:description/>
  <cp:lastModifiedBy>Meynen Greet</cp:lastModifiedBy>
  <cp:lastPrinted>2005-06-06T09:17:44Z</cp:lastPrinted>
  <dcterms:created xsi:type="dcterms:W3CDTF">2002-08-21T15:36:52Z</dcterms:created>
  <dcterms:modified xsi:type="dcterms:W3CDTF">2019-05-07T12:22:31Z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-2040683835</vt:i4>
  </property>
  <property fmtid="{D5CDD505-2E9C-101B-9397-08002B2CF9AE}" pid="3" name="_EmailSubject">
    <vt:lpwstr>files werkgroep Lucht op Emis</vt:lpwstr>
  </property>
  <property fmtid="{D5CDD505-2E9C-101B-9397-08002B2CF9AE}" pid="4" name="_AuthorEmail">
    <vt:lpwstr>ive.vanderreydt@vito.be</vt:lpwstr>
  </property>
  <property fmtid="{D5CDD505-2E9C-101B-9397-08002B2CF9AE}" pid="5" name="_AuthorEmailDisplayName">
    <vt:lpwstr>Vanderreydt Ive</vt:lpwstr>
  </property>
  <property fmtid="{D5CDD505-2E9C-101B-9397-08002B2CF9AE}" pid="6" name="_ReviewingToolsShownOnce">
    <vt:lpwstr/>
  </property>
  <property fmtid="{D5CDD505-2E9C-101B-9397-08002B2CF9AE}" pid="7" name="Publicatiedatum">
    <vt:lpwstr>2005</vt:lpwstr>
  </property>
  <property fmtid="{D5CDD505-2E9C-101B-9397-08002B2CF9AE}" pid="8" name="display_urn:schemas-microsoft-com:office:office#Editor">
    <vt:lpwstr>Meynen Greet</vt:lpwstr>
  </property>
  <property fmtid="{D5CDD505-2E9C-101B-9397-08002B2CF9AE}" pid="9" name="Order">
    <vt:lpwstr>3100.00000000000</vt:lpwstr>
  </property>
  <property fmtid="{D5CDD505-2E9C-101B-9397-08002B2CF9AE}" pid="10" name="display_urn:schemas-microsoft-com:office:office#Author">
    <vt:lpwstr>Meynen Greet</vt:lpwstr>
  </property>
  <property fmtid="{D5CDD505-2E9C-101B-9397-08002B2CF9AE}" pid="11" name="Werkgroep">
    <vt:lpwstr>LABS contactdag</vt:lpwstr>
  </property>
  <property fmtid="{D5CDD505-2E9C-101B-9397-08002B2CF9AE}" pid="12" name="PublicURL">
    <vt:lpwstr>https://reflabos.vito.be/werkgroep/lucht_werkgroep_lucht_MO_HCl_voorbeeld.xls</vt:lpwstr>
  </property>
  <property fmtid="{D5CDD505-2E9C-101B-9397-08002B2CF9AE}" pid="13" name="Compendium keuze">
    <vt:lpwstr>LUC</vt:lpwstr>
  </property>
</Properties>
</file>